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Synthèse" sheetId="2" state="visible" r:id="rId4"/>
    <sheet name="Marché" sheetId="3" state="visible" r:id="rId5"/>
    <sheet name="Hypothèses" sheetId="4" state="visible" r:id="rId6"/>
    <sheet name="Scénario prudent" sheetId="5" state="visible" r:id="rId7"/>
    <sheet name="Scénario médian" sheetId="6" state="visible" r:id="rId8"/>
    <sheet name="Scénario ambitieux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<sst xmlns="http://schemas.openxmlformats.org/spreadsheetml/2006/main" count="408" uniqueCount="174">
  <si>
    <t xml:space="preserve">Business plan Pharos — 5 ans (2027-2031), trois scénarios</t>
  </si>
  <si>
    <t xml:space="preserve">Établi le 24 septembre 2026 · fil Pharos · à partir du rapport d'activité AMSF 2025 (publié le 4 septembre 2026)</t>
  </si>
  <si>
    <t xml:space="preserve">COMMENT LIRE CE CLASSEUR</t>
  </si>
  <si>
    <t xml:space="preserve">• Bleu = chiffre saisi (hypothèse ou source), modifiable. Noir = formule. Vert = lien vers un autre onglet. Fond jaune = les leviers à ajuster en priorité.</t>
  </si>
  <si>
    <t xml:space="preserve">• Tout se pilote depuis l'onglet « Hypothèses » : prix, hébergement, salaire IT, churn, nombre de nouveaux clients par an et par scénario, répartition par feu.</t>
  </si>
  <si>
    <t xml:space="preserve">• Les trois onglets de scénario recalculent seuls. « Synthèse » les compare.</t>
  </si>
  <si>
    <t xml:space="preserve">LES SOURCES</t>
  </si>
  <si>
    <t xml:space="preserve">• Marché : AMSF, Rapport d'activité 2025, p. 18-19 — réponses au questionnaire STRIX 2025 (période de référence 2024) : 1 294 réponses, taux de réponse 96 %, 171 professions financières / 1 123 non financières. https://amsf.mc/content/download/3302/file/AMSF_RapportActivite2025_Interactif.pdf</t>
  </si>
  <si>
    <t xml:space="preserve">• Registre DRAKKAR : 1 824 entités assujetties au 31/12/2024 (référentiel MONEYVAL/GAFI du projet ; le rapport 2025 ne reprend pas ce total). L'écart avec les 1 348 entités sollicitées par STRIX (1 294 / 96 %) correspond aux entités inscrites mais non sollicitées ou inactives : elles ne sont pas comptées comme adressables.</t>
  </si>
  <si>
    <t xml:space="preserve">• Pression réglementaire (même rapport, p. 12-15) : 805 mises en demeure et 166 sanctions simplifiées en 2025 ; 912 procédures internes reçues (83 % des assujettis) ; 631 rapports d'activité (59 %) ; 54 contrôles sur place (+50 %).</t>
  </si>
  <si>
    <t xml:space="preserve">• Prix : offre Monoïkos arrêtée le 30/08/2026 — Fanal 5 000 €, Vigie 9 000 €, Phare 16 000 € HT/an, tout compris (licences utilisateurs, paramétrage, formation, support). Amirauté (30 000 €) écartée de ce plan, comme demandé.</t>
  </si>
  <si>
    <t xml:space="preserve">• Hébergement : trajectoire actée le 18/09/2026 (point Infrastructure Pharos) — OVH SecNumCloud puis Monaco Cloud ; 300 clients ≈ 3 000-5 000 €/mois. Chiffre retenu à 300 clients : 4 000 €/mois. Les paliers intermédiaires sont ceux du même document.</t>
  </si>
  <si>
    <t xml:space="preserve">• IT : salaire brut annuel 55 000 € (fourchette demandée 50-60 k€), charges patronales 39 %, indexation 2 %/an. Un poste à temps plein dès l'année 1.</t>
  </si>
  <si>
    <t xml:space="preserve">• Apport d'affaires : 30 % du tarif catalogue, plafonné à 150 000 € nets/an (business plan v2 du 01/09/2026). Mettre 0 % dans « Hypothèses » pour lire le résultat sans commission.</t>
  </si>
  <si>
    <t xml:space="preserve">CE QUE CE PLAN NE CONTIENT PAS</t>
  </si>
  <si>
    <t xml:space="preserve">• Aucune rémunération du fondateur, aucune structure juridique (SA suisse, etc.) : elles dépendent d'arbitrages non pris ici. Les « autres charges » sont volontairement modestes et marquées comme hypothèses.</t>
  </si>
  <si>
    <t xml:space="preserve">• Aucune option payante (e-learning, Avurnav), aucune prestation Capitainerie : le plan ne compte que les licences des trois feux.</t>
  </si>
  <si>
    <t xml:space="preserve">• Pas de TVA : tous les montants sont HT.</t>
  </si>
  <si>
    <t xml:space="preserve">Synthèse — les trois scénarios côte à côte</t>
  </si>
  <si>
    <t xml:space="preserve">Années 1 à 5 · montants HT · le résultat est avant rémunération du fondateur et impôts</t>
  </si>
  <si>
    <t xml:space="preserve">Clients actifs en fin d'année</t>
  </si>
  <si>
    <t xml:space="preserve">An 1</t>
  </si>
  <si>
    <t xml:space="preserve">An 2</t>
  </si>
  <si>
    <t xml:space="preserve">An 3</t>
  </si>
  <si>
    <t xml:space="preserve">An 4</t>
  </si>
  <si>
    <t xml:space="preserve">An 5</t>
  </si>
  <si>
    <t xml:space="preserve">Fin an 5</t>
  </si>
  <si>
    <t xml:space="preserve">Prudent</t>
  </si>
  <si>
    <t xml:space="preserve">Médian</t>
  </si>
  <si>
    <t xml:space="preserve">Ambitieux</t>
  </si>
  <si>
    <t xml:space="preserve">Pénétration de la base adressable</t>
  </si>
  <si>
    <t xml:space="preserve">Chiffre d'affaires licences (HT)</t>
  </si>
  <si>
    <t xml:space="preserve">Cumul 5 ans</t>
  </si>
  <si>
    <t xml:space="preserve">Hébergement</t>
  </si>
  <si>
    <t xml:space="preserve">Le poste IT (chargé)</t>
  </si>
  <si>
    <t xml:space="preserve">Commission d'apport</t>
  </si>
  <si>
    <t xml:space="preserve">Total des charges</t>
  </si>
  <si>
    <t xml:space="preserve">Résultat avant fondateur et impôts</t>
  </si>
  <si>
    <t xml:space="preserve">Résultat cumulé</t>
  </si>
  <si>
    <t xml:space="preserve">Parc en fin d'an 5, par feu</t>
  </si>
  <si>
    <t xml:space="preserve">Fanal</t>
  </si>
  <si>
    <t xml:space="preserve">Vigie</t>
  </si>
  <si>
    <t xml:space="preserve">Phare</t>
  </si>
  <si>
    <t xml:space="preserve">Total</t>
  </si>
  <si>
    <t xml:space="preserve">Le marché des assujettis monégasques — AMSF, rapport d'activité 2025</t>
  </si>
  <si>
    <t xml:space="preserve">Réponses STRIX 2025 (période 2024), p. 18-19 du rapport. 1 294 réponses = 96 % des entités sollicitées.</t>
  </si>
  <si>
    <t xml:space="preserve">Catégorie d'assujettis</t>
  </si>
  <si>
    <t xml:space="preserve">Entités (STRIX 2025)</t>
  </si>
  <si>
    <t xml:space="preserve">Adressable par Pharos ?</t>
  </si>
  <si>
    <t xml:space="preserve">Feu naturel</t>
  </si>
  <si>
    <t xml:space="preserve">Base adressable</t>
  </si>
  <si>
    <t xml:space="preserve">Pourquoi</t>
  </si>
  <si>
    <t xml:space="preserve">PROFESSIONS FINANCIÈRES</t>
  </si>
  <si>
    <t xml:space="preserve">Banques et établissements financiers</t>
  </si>
  <si>
    <t xml:space="preserve">Non</t>
  </si>
  <si>
    <t xml:space="preserve">—</t>
  </si>
  <si>
    <t xml:space="preserve">Systèmes propres et éditeurs bancaires ; hors cible commerciale même si les sanctions 2026 (UBS, Moncrief, Julius Baer) montrent la faille</t>
  </si>
  <si>
    <t xml:space="preserve">Sociétés de gestion de portefeuille</t>
  </si>
  <si>
    <t xml:space="preserve">Oui</t>
  </si>
  <si>
    <t xml:space="preserve">Contrôle AMSF fréquent, obligation complète, capacité à payer</t>
  </si>
  <si>
    <t xml:space="preserve">Courtiers en assurance-vie</t>
  </si>
  <si>
    <t xml:space="preserve">Petites structures, obligations complètes</t>
  </si>
  <si>
    <t xml:space="preserve">Bureaux de change</t>
  </si>
  <si>
    <t xml:space="preserve">Prêteur sur gages</t>
  </si>
  <si>
    <t xml:space="preserve">PROFESSIONS NON FINANCIÈRES</t>
  </si>
  <si>
    <t xml:space="preserve">Prestataires de services aux sociétés (CSP / TCSP)</t>
  </si>
  <si>
    <t xml:space="preserve">Deux sanctions nominatives en 2025 (Landmark 800 k€, ICS 500 k€) : le secteur le plus exposé</t>
  </si>
  <si>
    <t xml:space="preserve">Agents immobiliers</t>
  </si>
  <si>
    <t xml:space="preserve">16 contrôles sur place en 2025 ; 129 procédures reçues</t>
  </si>
  <si>
    <t xml:space="preserve">Conseils juridiques</t>
  </si>
  <si>
    <t xml:space="preserve">Structures petites ; le cabinet est lui-même du secteur</t>
  </si>
  <si>
    <t xml:space="preserve">Notaires</t>
  </si>
  <si>
    <t xml:space="preserve">Officiers publics, effectif fermé</t>
  </si>
  <si>
    <t xml:space="preserve">Huissiers</t>
  </si>
  <si>
    <t xml:space="preserve">Objets de grande valeur (bijoutiers, antiquaires, automobiles, aéronefs…)</t>
  </si>
  <si>
    <t xml:space="preserve">12 contrôles bijoutiers/OGV en 2025 ; obligation dès 10 000 € en espèces</t>
  </si>
  <si>
    <t xml:space="preserve">Yachting (courtiers, gestionnaires, chantiers)</t>
  </si>
  <si>
    <t xml:space="preserve">Premier secteur visité en 2025 (22 contrôles) ; guide pratique 2026</t>
  </si>
  <si>
    <t xml:space="preserve">Agents sportifs</t>
  </si>
  <si>
    <t xml:space="preserve">69 procédures reçues</t>
  </si>
  <si>
    <t xml:space="preserve">Experts-comptables</t>
  </si>
  <si>
    <t xml:space="preserve">Centres d'affaires</t>
  </si>
  <si>
    <t xml:space="preserve">Multi-family offices</t>
  </si>
  <si>
    <t xml:space="preserve">Clientèle fortunée, PPE, chaînes de détention</t>
  </si>
  <si>
    <t xml:space="preserve">Total des réponses STRIX 2025</t>
  </si>
  <si>
    <t xml:space="preserve">Base adressable →</t>
  </si>
  <si>
    <t xml:space="preserve">Taux de réponse STRIX (rapport, p. 19)</t>
  </si>
  <si>
    <t xml:space="preserve">Entités sollicitées par STRIX (réponses ÷ taux)</t>
  </si>
  <si>
    <t xml:space="preserve">Registre DRAKKAR au 31/12/2024 (référentiel du projet)</t>
  </si>
  <si>
    <t xml:space="preserve">Entités inscrites non sollicitées ou inactives (DRAKKAR − sollicitées)</t>
  </si>
  <si>
    <t xml:space="preserve">Part adressable dans le registre DRAKKAR</t>
  </si>
  <si>
    <t xml:space="preserve">Base adressable par feu naturel</t>
  </si>
  <si>
    <t xml:space="preserve">Hypothèses — tout le plan se pilote ici</t>
  </si>
  <si>
    <t xml:space="preserve">Bleu = à modifier. Fond jaune = leviers principaux.</t>
  </si>
  <si>
    <t xml:space="preserve">Prix des feux (HT / an, tout compris)</t>
  </si>
  <si>
    <t xml:space="preserve">Prix</t>
  </si>
  <si>
    <t xml:space="preserve">Source</t>
  </si>
  <si>
    <t xml:space="preserve">Offre Monoïkos du 30/08/2026 — licences, paramétrage, formation et support compris</t>
  </si>
  <si>
    <t xml:space="preserve">Hébergement (par palier de clients actifs)</t>
  </si>
  <si>
    <t xml:space="preserve">Jusqu'à … clients</t>
  </si>
  <si>
    <t xml:space="preserve">€ / mois</t>
  </si>
  <si>
    <t xml:space="preserve">€ / an</t>
  </si>
  <si>
    <t xml:space="preserve">Palier</t>
  </si>
  <si>
    <t xml:space="preserve">OVHcloud SecNumCloud, 300-500 €/mois (point Infrastructure, 18/09/2026)</t>
  </si>
  <si>
    <t xml:space="preserve">Monaco Cloud + HA + SIEM + ISO 27001, 1 000-1 800 €/mois</t>
  </si>
  <si>
    <t xml:space="preserve">+ PRA Luxembourg, Vault, astreinte, 1 800-3 000 €/mois</t>
  </si>
  <si>
    <t xml:space="preserve">Cluster, instances dédiées, SOC 24/7, 3 000-5 000 €/mois — CHIFFRE RETENU À 300 CLIENTS</t>
  </si>
  <si>
    <t xml:space="preserve">Au-delà de 300 clients : extrapolation</t>
  </si>
  <si>
    <t xml:space="preserve">Le poste IT</t>
  </si>
  <si>
    <t xml:space="preserve">Valeur</t>
  </si>
  <si>
    <t xml:space="preserve">Salaire brut annuel</t>
  </si>
  <si>
    <t xml:space="preserve">Fourchette demandée : 50 000 à 60 000 € brut</t>
  </si>
  <si>
    <t xml:space="preserve">Charges patronales</t>
  </si>
  <si>
    <t xml:space="preserve">Taux demandé : 39 %</t>
  </si>
  <si>
    <t xml:space="preserve">Coût chargé année 1</t>
  </si>
  <si>
    <t xml:space="preserve">Indexation annuelle du salaire</t>
  </si>
  <si>
    <t xml:space="preserve">Hypothèse</t>
  </si>
  <si>
    <t xml:space="preserve">Année d'entrée du poste (1 = dès la première année)</t>
  </si>
  <si>
    <t xml:space="preserve">Demandé : dès la première année</t>
  </si>
  <si>
    <t xml:space="preserve">Autres charges (hypothèses modestes, à ajuster)</t>
  </si>
  <si>
    <t xml:space="preserve">Note</t>
  </si>
  <si>
    <t xml:space="preserve">Assurance RC pro et cyber</t>
  </si>
  <si>
    <t xml:space="preserve">Outils, domaines, messagerie, dépôt de code</t>
  </si>
  <si>
    <t xml:space="preserve">Comptabilité et juridique</t>
  </si>
  <si>
    <t xml:space="preserve">Marketing, événements, documentation commerciale</t>
  </si>
  <si>
    <t xml:space="preserve">Hypothèse — les Rencontres de la Conformité, le site, le livre blanc</t>
  </si>
  <si>
    <t xml:space="preserve">Commercial</t>
  </si>
  <si>
    <t xml:space="preserve">Commission d'apport d'affaires (part du tarif catalogue, an 1 de chaque client)</t>
  </si>
  <si>
    <t xml:space="preserve">BP v2 du 01/09/2026 — mettre 0 pour lire sans commission</t>
  </si>
  <si>
    <t xml:space="preserve">Plafond annuel de la commission</t>
  </si>
  <si>
    <t xml:space="preserve">BP v2 du 01/09/2026</t>
  </si>
  <si>
    <t xml:space="preserve">Attrition annuelle (clients perdus sur le parc de début d'année)</t>
  </si>
  <si>
    <t xml:space="preserve">Hypothèse : obligation légale, faible attrition</t>
  </si>
  <si>
    <t xml:space="preserve">Base adressable (lien Marché)</t>
  </si>
  <si>
    <t xml:space="preserve">Nouveaux clients signés par an — les trois scénarios</t>
  </si>
  <si>
    <t xml:space="preserve">Lecture</t>
  </si>
  <si>
    <t xml:space="preserve">Une signature par mois la première année ; ~110 clients actifs en an 5, soit ~9 % de la base adressable</t>
  </si>
  <si>
    <t xml:space="preserve">~200 clients actifs en an 5, ~16 % de la base — la pression des 805 mises en demeure de 2025 se convertit</t>
  </si>
  <si>
    <t xml:space="preserve">~300 clients actifs en an 5 (le palier d'hébergement demandé), ~24 % de la base</t>
  </si>
  <si>
    <t xml:space="preserve">Répartition des nouveaux clients par feu</t>
  </si>
  <si>
    <t xml:space="preserve">   Fanal</t>
  </si>
  <si>
    <t xml:space="preserve">   Vigie</t>
  </si>
  <si>
    <t xml:space="preserve">   Phare</t>
  </si>
  <si>
    <t xml:space="preserve">   contrôle (doit faire 100 %)</t>
  </si>
  <si>
    <t xml:space="preserve">Le Fanal recule et le Phare monte avec le temps : les premiers clients entrent par l'obligation, les suivants par la démonstration</t>
  </si>
  <si>
    <t xml:space="preserve">Scénario prudent — 5 ans</t>
  </si>
  <si>
    <t xml:space="preserve">Toutes les valeurs sont des formules : modifier l'onglet Hypothèses.</t>
  </si>
  <si>
    <t xml:space="preserve">Cumul / fin</t>
  </si>
  <si>
    <t xml:space="preserve">LE PARC</t>
  </si>
  <si>
    <t xml:space="preserve">Nouveaux clients signés</t>
  </si>
  <si>
    <t xml:space="preserve">Clients perdus (attrition sur le parc de début d'année)</t>
  </si>
  <si>
    <t xml:space="preserve">LE PARC PAR FEU (nouveaux clients répartis, attrition proportionnelle)</t>
  </si>
  <si>
    <t xml:space="preserve">Clients actifs Fanal</t>
  </si>
  <si>
    <t xml:space="preserve">Clients actifs Vigie</t>
  </si>
  <si>
    <t xml:space="preserve">Clients actifs Phare</t>
  </si>
  <si>
    <t xml:space="preserve">Contrôle : somme des feux (≈ clients actifs, écart d'arrondi)</t>
  </si>
  <si>
    <t xml:space="preserve">LE CHIFFRE D'AFFAIRES (licences HT)</t>
  </si>
  <si>
    <t xml:space="preserve">CA Fanal</t>
  </si>
  <si>
    <t xml:space="preserve">CA Vigie</t>
  </si>
  <si>
    <t xml:space="preserve">CA Phare</t>
  </si>
  <si>
    <t xml:space="preserve">Chiffre d'affaires total</t>
  </si>
  <si>
    <t xml:space="preserve">Panier moyen par client actif</t>
  </si>
  <si>
    <t xml:space="preserve">LES CHARGES</t>
  </si>
  <si>
    <t xml:space="preserve">Hébergement (palier du parc de fin d'année)</t>
  </si>
  <si>
    <t xml:space="preserve">Le poste IT (salaire chargé, indexé)</t>
  </si>
  <si>
    <t xml:space="preserve">Autres charges (assurance, outils, comptabilité, marketing)</t>
  </si>
  <si>
    <t xml:space="preserve">Commission d'apport d'affaires (sur les nouveaux clients, plafonnée)</t>
  </si>
  <si>
    <t xml:space="preserve">LE RÉSULTAT</t>
  </si>
  <si>
    <t xml:space="preserve">Résultat avant rémunération du fondateur et impôts</t>
  </si>
  <si>
    <t xml:space="preserve">Marge sur chiffre d'affaires</t>
  </si>
  <si>
    <t xml:space="preserve">Poids de l'hébergement dans le CA</t>
  </si>
  <si>
    <t xml:space="preserve">Lecture : le résultat ne comprend ni la rémunération du fondateur ni la structure juridique (voir Lisez-moi). Le poste IT est compté à temps plein dès l'année choisie dans Hypothèses.</t>
  </si>
  <si>
    <t xml:space="preserve">Scénario médian — 5 ans</t>
  </si>
  <si>
    <t xml:space="preserve">Scénario ambitieux — 5 ans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</si>
</sst>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"/>
    <numFmt numFmtId="167" formatCode="#,##0&quot; €&quot;;\(#,##0&quot; €)&quot;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A4A"/>
        <bgColor rgb="FF333333"/>
      </patternFill>
    </fill>
    <fill>
      <patternFill patternType="solid">
        <fgColor rgb="FFEEEEEE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78787"/>
      <rgbColor rgb="FF9999FF"/>
      <rgbColor rgb="FFBE4B48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8B855"/>
      <rgbColor rgb="FFFFCC00"/>
      <rgbColor rgb="FFFF9900"/>
      <rgbColor rgb="FFFF6600"/>
      <rgbColor rgb="FF4A7EBB"/>
      <rgbColor rgb="FF9BBB59"/>
      <rgbColor rgb="FF0B2A4A"/>
      <rgbColor rgb="FF339966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Chiffre d'affaires licences par scénario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Synthèse!A15</c:f>
              <c:strCache>
                <c:ptCount val="1"/>
                <c:pt idx="0">
                  <c:v>Prudent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Synthèse!$B$14:$F$14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Synthèse!$B$15:$F$15</c:f>
              <c:numCache>
                <c:formatCode>#,##0" €";\(#,##0" €)";\-</c:formatCode>
                <c:ptCount val="5"/>
                <c:pt idx="0">
                  <c:v>83000</c:v>
                </c:pt>
                <c:pt idx="1">
                  <c:v>229000</c:v>
                </c:pt>
                <c:pt idx="2">
                  <c:v>433000</c:v>
                </c:pt>
                <c:pt idx="3">
                  <c:v>637000</c:v>
                </c:pt>
                <c:pt idx="4">
                  <c:v>836000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Synthèse!A16</c:f>
              <c:strCache>
                <c:ptCount val="1"/>
                <c:pt idx="0">
                  <c:v>Médian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Synthèse!$B$14:$F$14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Synthèse!$B$16:$F$16</c:f>
              <c:numCache>
                <c:formatCode>#,##0" €";\(#,##0" €)";\-</c:formatCode>
                <c:ptCount val="5"/>
                <c:pt idx="0">
                  <c:v>146000</c:v>
                </c:pt>
                <c:pt idx="1">
                  <c:v>404000</c:v>
                </c:pt>
                <c:pt idx="2">
                  <c:v>784000</c:v>
                </c:pt>
                <c:pt idx="3">
                  <c:v>1199000</c:v>
                </c:pt>
                <c:pt idx="4">
                  <c:v>1584000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Synthèse!A17</c:f>
              <c:strCache>
                <c:ptCount val="1"/>
                <c:pt idx="0">
                  <c:v>Ambitieux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Synthèse!$B$14:$F$14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Synthèse!$B$17:$F$17</c:f>
              <c:numCache>
                <c:formatCode>#,##0" €";\(#,##0" €)";\-</c:formatCode>
                <c:ptCount val="5"/>
                <c:pt idx="0">
                  <c:v>239000</c:v>
                </c:pt>
                <c:pt idx="1">
                  <c:v>673000</c:v>
                </c:pt>
                <c:pt idx="2">
                  <c:v>1319000</c:v>
                </c:pt>
                <c:pt idx="3">
                  <c:v>1974000</c:v>
                </c:pt>
                <c:pt idx="4">
                  <c:v>2634000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983364"/>
        <c:axId val="78813816"/>
      </c:lineChart>
      <c:catAx>
        <c:axId val="498336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Année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813816"/>
        <c:crosses val="autoZero"/>
        <c:auto val="1"/>
        <c:lblAlgn val="ctr"/>
        <c:lblOffset val="100"/>
        <c:noMultiLvlLbl val="0"/>
      </c:catAx>
      <c:valAx>
        <c:axId val="788138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 HT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\(#,##0&quot; €)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8336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Clients actifs en fin d'année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Synthèse!A5</c:f>
              <c:strCache>
                <c:ptCount val="1"/>
                <c:pt idx="0">
                  <c:v>Prudent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Synthèse!$B$4:$F$4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Synthèse!$B$5:$F$5</c:f>
              <c:numCache>
                <c:formatCode>#,##0;\(#,##0\);\-</c:formatCode>
                <c:ptCount val="5"/>
                <c:pt idx="0">
                  <c:v>12</c:v>
                </c:pt>
                <c:pt idx="1">
                  <c:v>31</c:v>
                </c:pt>
                <c:pt idx="2">
                  <c:v>57</c:v>
                </c:pt>
                <c:pt idx="3">
                  <c:v>84</c:v>
                </c:pt>
                <c:pt idx="4">
                  <c:v>110</c:v>
                </c:pt>
              </c:numCache>
            </c:numRef>
          </c:val>
        </c:ser>
        <c:ser>
          <c:idx val="1"/>
          <c:order val="1"/>
          <c:tx>
            <c:strRef>
              <c:f>Synthèse!A6</c:f>
              <c:strCache>
                <c:ptCount val="1"/>
                <c:pt idx="0">
                  <c:v>Médian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Synthèse!$B$4:$F$4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Synthèse!$B$6:$F$6</c:f>
              <c:numCache>
                <c:formatCode>#,##0;\(#,##0\);\-</c:formatCode>
                <c:ptCount val="5"/>
                <c:pt idx="0">
                  <c:v>20</c:v>
                </c:pt>
                <c:pt idx="1">
                  <c:v>54</c:v>
                </c:pt>
                <c:pt idx="2">
                  <c:v>101</c:v>
                </c:pt>
                <c:pt idx="3">
                  <c:v>151</c:v>
                </c:pt>
                <c:pt idx="4">
                  <c:v>198</c:v>
                </c:pt>
              </c:numCache>
            </c:numRef>
          </c:val>
        </c:ser>
        <c:ser>
          <c:idx val="2"/>
          <c:order val="2"/>
          <c:tx>
            <c:strRef>
              <c:f>Synthèse!A7</c:f>
              <c:strCache>
                <c:ptCount val="1"/>
                <c:pt idx="0">
                  <c:v>Ambitieux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Synthèse!$B$4:$F$4</c:f>
              <c:strCache>
                <c:ptCount val="5"/>
                <c:pt idx="0">
                  <c:v>An 1</c:v>
                </c:pt>
                <c:pt idx="1">
                  <c:v>An 2</c:v>
                </c:pt>
                <c:pt idx="2">
                  <c:v>An 3</c:v>
                </c:pt>
                <c:pt idx="3">
                  <c:v>An 4</c:v>
                </c:pt>
                <c:pt idx="4">
                  <c:v>An 5</c:v>
                </c:pt>
              </c:strCache>
            </c:strRef>
          </c:cat>
          <c:val>
            <c:numRef>
              <c:f>Synthèse!$B$7:$F$7</c:f>
              <c:numCache>
                <c:formatCode>#,##0;\(#,##0\);\-</c:formatCode>
                <c:ptCount val="5"/>
                <c:pt idx="0">
                  <c:v>30</c:v>
                </c:pt>
                <c:pt idx="1">
                  <c:v>83</c:v>
                </c:pt>
                <c:pt idx="2">
                  <c:v>159</c:v>
                </c:pt>
                <c:pt idx="3">
                  <c:v>236</c:v>
                </c:pt>
                <c:pt idx="4">
                  <c:v>314</c:v>
                </c:pt>
              </c:numCache>
            </c:numRef>
          </c:val>
        </c:ser>
        <c:gapWidth val="150"/>
        <c:overlap val="0"/>
        <c:axId val="69617738"/>
        <c:axId val="35539694"/>
      </c:barChart>
      <c:catAx>
        <c:axId val="696177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539694"/>
        <c:crosses val="autoZero"/>
        <c:auto val="1"/>
        <c:lblAlgn val="ctr"/>
        <c:lblOffset val="100"/>
        <c:noMultiLvlLbl val="0"/>
      </c:catAx>
      <c:valAx>
        <c:axId val="355396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6177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52</xdr:row>
      <xdr:rowOff>160560</xdr:rowOff>
    </xdr:from>
    <xdr:to>
      <xdr:col>4</xdr:col>
      <xdr:colOff>488520</xdr:colOff>
      <xdr:row>67</xdr:row>
      <xdr:rowOff>182880</xdr:rowOff>
    </xdr:to>
    <xdr:graphicFrame>
      <xdr:nvGraphicFramePr>
        <xdr:cNvPr id="0" name="Chart 1"/>
        <xdr:cNvGraphicFramePr/>
      </xdr:nvGraphicFramePr>
      <xdr:xfrm>
        <a:off x="0" y="100965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69</xdr:row>
      <xdr:rowOff>160920</xdr:rowOff>
    </xdr:from>
    <xdr:to>
      <xdr:col>4</xdr:col>
      <xdr:colOff>488520</xdr:colOff>
      <xdr:row>84</xdr:row>
      <xdr:rowOff>182880</xdr:rowOff>
    </xdr:to>
    <xdr:graphicFrame>
      <xdr:nvGraphicFramePr>
        <xdr:cNvPr id="1" name="Chart 2"/>
        <xdr:cNvGraphicFramePr/>
      </xdr:nvGraphicFramePr>
      <xdr:xfrm>
        <a:off x="0" y="1333512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39.55" hidden="false" customHeight="false" outlineLevel="0" collapsed="false">
      <c r="A10" s="2" t="s">
        <v>7</v>
      </c>
    </row>
    <row r="11" customFormat="false" ht="39.55" hidden="false" customHeight="false" outlineLevel="0" collapsed="false">
      <c r="A11" s="2" t="s">
        <v>8</v>
      </c>
    </row>
    <row r="12" customFormat="false" ht="26.85" hidden="false" customHeight="false" outlineLevel="0" collapsed="false">
      <c r="A12" s="2" t="s">
        <v>9</v>
      </c>
    </row>
    <row r="13" customFormat="false" ht="26.85" hidden="false" customHeight="false" outlineLevel="0" collapsed="false">
      <c r="A13" s="2" t="s">
        <v>10</v>
      </c>
    </row>
    <row r="14" customFormat="false" ht="39.55" hidden="false" customHeight="false" outlineLevel="0" collapsed="false">
      <c r="A14" s="2" t="s">
        <v>11</v>
      </c>
    </row>
    <row r="15" customFormat="false" ht="26.85" hidden="false" customHeight="false" outlineLevel="0" collapsed="false">
      <c r="A15" s="2" t="s">
        <v>12</v>
      </c>
    </row>
    <row r="16" customFormat="false" ht="26.8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14</v>
      </c>
    </row>
    <row r="19" customFormat="false" ht="26.85" hidden="false" customHeight="false" outlineLevel="0" collapsed="false">
      <c r="A19" s="2" t="s">
        <v>15</v>
      </c>
    </row>
    <row r="20" customFormat="false" ht="26.8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5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4" t="s">
        <v>18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19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</row>
    <row r="5" customFormat="false" ht="15" hidden="false" customHeight="false" outlineLevel="0" collapsed="false">
      <c r="A5" s="8" t="s">
        <v>27</v>
      </c>
      <c r="B5" s="9" t="n">
        <f aca="false">'Scénario prudent'!B8</f>
        <v>12</v>
      </c>
      <c r="C5" s="9" t="n">
        <f aca="false">'Scénario prudent'!C8</f>
        <v>31</v>
      </c>
      <c r="D5" s="9" t="n">
        <f aca="false">'Scénario prudent'!D8</f>
        <v>57</v>
      </c>
      <c r="E5" s="9" t="n">
        <f aca="false">'Scénario prudent'!E8</f>
        <v>84</v>
      </c>
      <c r="F5" s="9" t="n">
        <f aca="false">'Scénario prudent'!F8</f>
        <v>110</v>
      </c>
      <c r="G5" s="10" t="n">
        <f aca="false">F5</f>
        <v>110</v>
      </c>
    </row>
    <row r="6" customFormat="false" ht="15" hidden="false" customHeight="false" outlineLevel="0" collapsed="false">
      <c r="A6" s="8" t="s">
        <v>28</v>
      </c>
      <c r="B6" s="9" t="n">
        <f aca="false">'Scénario médian'!B8</f>
        <v>20</v>
      </c>
      <c r="C6" s="9" t="n">
        <f aca="false">'Scénario médian'!C8</f>
        <v>54</v>
      </c>
      <c r="D6" s="9" t="n">
        <f aca="false">'Scénario médian'!D8</f>
        <v>101</v>
      </c>
      <c r="E6" s="9" t="n">
        <f aca="false">'Scénario médian'!E8</f>
        <v>151</v>
      </c>
      <c r="F6" s="9" t="n">
        <f aca="false">'Scénario médian'!F8</f>
        <v>198</v>
      </c>
      <c r="G6" s="10" t="n">
        <f aca="false">F6</f>
        <v>198</v>
      </c>
    </row>
    <row r="7" customFormat="false" ht="15" hidden="false" customHeight="false" outlineLevel="0" collapsed="false">
      <c r="A7" s="8" t="s">
        <v>29</v>
      </c>
      <c r="B7" s="9" t="n">
        <f aca="false">'Scénario ambitieux'!B8</f>
        <v>30</v>
      </c>
      <c r="C7" s="9" t="n">
        <f aca="false">'Scénario ambitieux'!C8</f>
        <v>83</v>
      </c>
      <c r="D7" s="9" t="n">
        <f aca="false">'Scénario ambitieux'!D8</f>
        <v>159</v>
      </c>
      <c r="E7" s="9" t="n">
        <f aca="false">'Scénario ambitieux'!E8</f>
        <v>236</v>
      </c>
      <c r="F7" s="9" t="n">
        <f aca="false">'Scénario ambitieux'!F8</f>
        <v>314</v>
      </c>
      <c r="G7" s="10" t="n">
        <f aca="false">F7</f>
        <v>314</v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7" t="s">
        <v>30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25</v>
      </c>
      <c r="G9" s="7" t="s">
        <v>26</v>
      </c>
    </row>
    <row r="10" customFormat="false" ht="15" hidden="false" customHeight="false" outlineLevel="0" collapsed="false">
      <c r="A10" s="8" t="s">
        <v>27</v>
      </c>
      <c r="B10" s="11" t="n">
        <f aca="false">'Scénario prudent'!B9</f>
        <v>0.00955414012738854</v>
      </c>
      <c r="C10" s="11" t="n">
        <f aca="false">'Scénario prudent'!C9</f>
        <v>0.0246815286624204</v>
      </c>
      <c r="D10" s="11" t="n">
        <f aca="false">'Scénario prudent'!D9</f>
        <v>0.0453821656050955</v>
      </c>
      <c r="E10" s="11" t="n">
        <f aca="false">'Scénario prudent'!E9</f>
        <v>0.0668789808917197</v>
      </c>
      <c r="F10" s="11" t="n">
        <f aca="false">'Scénario prudent'!F9</f>
        <v>0.0875796178343949</v>
      </c>
      <c r="G10" s="12" t="n">
        <f aca="false">F10</f>
        <v>0.0875796178343949</v>
      </c>
    </row>
    <row r="11" customFormat="false" ht="15" hidden="false" customHeight="false" outlineLevel="0" collapsed="false">
      <c r="A11" s="8" t="s">
        <v>28</v>
      </c>
      <c r="B11" s="11" t="n">
        <f aca="false">'Scénario médian'!B9</f>
        <v>0.0159235668789809</v>
      </c>
      <c r="C11" s="11" t="n">
        <f aca="false">'Scénario médian'!C9</f>
        <v>0.0429936305732484</v>
      </c>
      <c r="D11" s="11" t="n">
        <f aca="false">'Scénario médian'!D9</f>
        <v>0.0804140127388535</v>
      </c>
      <c r="E11" s="11" t="n">
        <f aca="false">'Scénario médian'!E9</f>
        <v>0.120222929936306</v>
      </c>
      <c r="F11" s="11" t="n">
        <f aca="false">'Scénario médian'!F9</f>
        <v>0.157643312101911</v>
      </c>
      <c r="G11" s="12" t="n">
        <f aca="false">F11</f>
        <v>0.157643312101911</v>
      </c>
    </row>
    <row r="12" customFormat="false" ht="15" hidden="false" customHeight="false" outlineLevel="0" collapsed="false">
      <c r="A12" s="8" t="s">
        <v>29</v>
      </c>
      <c r="B12" s="11" t="n">
        <f aca="false">'Scénario ambitieux'!B9</f>
        <v>0.0238853503184713</v>
      </c>
      <c r="C12" s="11" t="n">
        <f aca="false">'Scénario ambitieux'!C9</f>
        <v>0.0660828025477707</v>
      </c>
      <c r="D12" s="11" t="n">
        <f aca="false">'Scénario ambitieux'!D9</f>
        <v>0.126592356687898</v>
      </c>
      <c r="E12" s="11" t="n">
        <f aca="false">'Scénario ambitieux'!E9</f>
        <v>0.187898089171975</v>
      </c>
      <c r="F12" s="11" t="n">
        <f aca="false">'Scénario ambitieux'!F9</f>
        <v>0.25</v>
      </c>
      <c r="G12" s="12" t="n">
        <f aca="false">F12</f>
        <v>0.25</v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</row>
    <row r="14" customFormat="false" ht="15" hidden="false" customHeight="false" outlineLevel="0" collapsed="false">
      <c r="A14" s="7" t="s">
        <v>31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25</v>
      </c>
      <c r="G14" s="7" t="s">
        <v>32</v>
      </c>
    </row>
    <row r="15" customFormat="false" ht="15" hidden="false" customHeight="false" outlineLevel="0" collapsed="false">
      <c r="A15" s="8" t="s">
        <v>27</v>
      </c>
      <c r="B15" s="13" t="n">
        <f aca="false">'Scénario prudent'!B21</f>
        <v>83000</v>
      </c>
      <c r="C15" s="13" t="n">
        <f aca="false">'Scénario prudent'!C21</f>
        <v>229000</v>
      </c>
      <c r="D15" s="13" t="n">
        <f aca="false">'Scénario prudent'!D21</f>
        <v>433000</v>
      </c>
      <c r="E15" s="13" t="n">
        <f aca="false">'Scénario prudent'!E21</f>
        <v>637000</v>
      </c>
      <c r="F15" s="13" t="n">
        <f aca="false">'Scénario prudent'!F21</f>
        <v>836000</v>
      </c>
      <c r="G15" s="14" t="n">
        <f aca="false">SUM(B15:F15)</f>
        <v>2218000</v>
      </c>
    </row>
    <row r="16" customFormat="false" ht="15" hidden="false" customHeight="false" outlineLevel="0" collapsed="false">
      <c r="A16" s="8" t="s">
        <v>28</v>
      </c>
      <c r="B16" s="13" t="n">
        <f aca="false">'Scénario médian'!B21</f>
        <v>146000</v>
      </c>
      <c r="C16" s="13" t="n">
        <f aca="false">'Scénario médian'!C21</f>
        <v>404000</v>
      </c>
      <c r="D16" s="13" t="n">
        <f aca="false">'Scénario médian'!D21</f>
        <v>784000</v>
      </c>
      <c r="E16" s="13" t="n">
        <f aca="false">'Scénario médian'!E21</f>
        <v>1199000</v>
      </c>
      <c r="F16" s="13" t="n">
        <f aca="false">'Scénario médian'!F21</f>
        <v>1584000</v>
      </c>
      <c r="G16" s="14" t="n">
        <f aca="false">SUM(B16:F16)</f>
        <v>4117000</v>
      </c>
    </row>
    <row r="17" customFormat="false" ht="15" hidden="false" customHeight="false" outlineLevel="0" collapsed="false">
      <c r="A17" s="8" t="s">
        <v>29</v>
      </c>
      <c r="B17" s="13" t="n">
        <f aca="false">'Scénario ambitieux'!B21</f>
        <v>239000</v>
      </c>
      <c r="C17" s="13" t="n">
        <f aca="false">'Scénario ambitieux'!C21</f>
        <v>673000</v>
      </c>
      <c r="D17" s="13" t="n">
        <f aca="false">'Scénario ambitieux'!D21</f>
        <v>1319000</v>
      </c>
      <c r="E17" s="13" t="n">
        <f aca="false">'Scénario ambitieux'!E21</f>
        <v>1974000</v>
      </c>
      <c r="F17" s="13" t="n">
        <f aca="false">'Scénario ambitieux'!F21</f>
        <v>2634000</v>
      </c>
      <c r="G17" s="14" t="n">
        <f aca="false">SUM(B17:F17)</f>
        <v>6839000</v>
      </c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7" t="s">
        <v>33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32</v>
      </c>
    </row>
    <row r="20" customFormat="false" ht="15" hidden="false" customHeight="false" outlineLevel="0" collapsed="false">
      <c r="A20" s="8" t="s">
        <v>27</v>
      </c>
      <c r="B20" s="13" t="n">
        <f aca="false">'Scénario prudent'!B25</f>
        <v>4800</v>
      </c>
      <c r="C20" s="13" t="n">
        <f aca="false">'Scénario prudent'!C25</f>
        <v>16800</v>
      </c>
      <c r="D20" s="13" t="n">
        <f aca="false">'Scénario prudent'!D25</f>
        <v>16800</v>
      </c>
      <c r="E20" s="13" t="n">
        <f aca="false">'Scénario prudent'!E25</f>
        <v>28800</v>
      </c>
      <c r="F20" s="13" t="n">
        <f aca="false">'Scénario prudent'!F25</f>
        <v>28800</v>
      </c>
      <c r="G20" s="14" t="n">
        <f aca="false">SUM(B20:F20)</f>
        <v>96000</v>
      </c>
    </row>
    <row r="21" customFormat="false" ht="15" hidden="false" customHeight="false" outlineLevel="0" collapsed="false">
      <c r="A21" s="8" t="s">
        <v>28</v>
      </c>
      <c r="B21" s="13" t="n">
        <f aca="false">'Scénario médian'!B25</f>
        <v>4800</v>
      </c>
      <c r="C21" s="13" t="n">
        <f aca="false">'Scénario médian'!C25</f>
        <v>16800</v>
      </c>
      <c r="D21" s="13" t="n">
        <f aca="false">'Scénario médian'!D25</f>
        <v>28800</v>
      </c>
      <c r="E21" s="13" t="n">
        <f aca="false">'Scénario médian'!E25</f>
        <v>48000</v>
      </c>
      <c r="F21" s="13" t="n">
        <f aca="false">'Scénario médian'!F25</f>
        <v>48000</v>
      </c>
      <c r="G21" s="14" t="n">
        <f aca="false">SUM(B21:F21)</f>
        <v>146400</v>
      </c>
    </row>
    <row r="22" customFormat="false" ht="15" hidden="false" customHeight="false" outlineLevel="0" collapsed="false">
      <c r="A22" s="8" t="s">
        <v>29</v>
      </c>
      <c r="B22" s="13" t="n">
        <f aca="false">'Scénario ambitieux'!B25</f>
        <v>4800</v>
      </c>
      <c r="C22" s="13" t="n">
        <f aca="false">'Scénario ambitieux'!C25</f>
        <v>28800</v>
      </c>
      <c r="D22" s="13" t="n">
        <f aca="false">'Scénario ambitieux'!D25</f>
        <v>48000</v>
      </c>
      <c r="E22" s="13" t="n">
        <f aca="false">'Scénario ambitieux'!E25</f>
        <v>48000</v>
      </c>
      <c r="F22" s="13" t="n">
        <f aca="false">'Scénario ambitieux'!F25</f>
        <v>66000</v>
      </c>
      <c r="G22" s="14" t="n">
        <f aca="false">SUM(B22:F22)</f>
        <v>195600</v>
      </c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7" t="s">
        <v>34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25</v>
      </c>
      <c r="G24" s="7" t="s">
        <v>32</v>
      </c>
    </row>
    <row r="25" customFormat="false" ht="15" hidden="false" customHeight="false" outlineLevel="0" collapsed="false">
      <c r="A25" s="8" t="s">
        <v>27</v>
      </c>
      <c r="B25" s="13" t="n">
        <f aca="false">'Scénario prudent'!B26</f>
        <v>76450</v>
      </c>
      <c r="C25" s="13" t="n">
        <f aca="false">'Scénario prudent'!C26</f>
        <v>77979</v>
      </c>
      <c r="D25" s="13" t="n">
        <f aca="false">'Scénario prudent'!D26</f>
        <v>79538.58</v>
      </c>
      <c r="E25" s="13" t="n">
        <f aca="false">'Scénario prudent'!E26</f>
        <v>81129.3516</v>
      </c>
      <c r="F25" s="13" t="n">
        <f aca="false">'Scénario prudent'!F26</f>
        <v>82751.938632</v>
      </c>
      <c r="G25" s="14" t="n">
        <f aca="false">SUM(B25:F25)</f>
        <v>397848.870232</v>
      </c>
    </row>
    <row r="26" customFormat="false" ht="15" hidden="false" customHeight="false" outlineLevel="0" collapsed="false">
      <c r="A26" s="8" t="s">
        <v>28</v>
      </c>
      <c r="B26" s="13" t="n">
        <f aca="false">'Scénario médian'!B26</f>
        <v>76450</v>
      </c>
      <c r="C26" s="13" t="n">
        <f aca="false">'Scénario médian'!C26</f>
        <v>77979</v>
      </c>
      <c r="D26" s="13" t="n">
        <f aca="false">'Scénario médian'!D26</f>
        <v>79538.58</v>
      </c>
      <c r="E26" s="13" t="n">
        <f aca="false">'Scénario médian'!E26</f>
        <v>81129.3516</v>
      </c>
      <c r="F26" s="13" t="n">
        <f aca="false">'Scénario médian'!F26</f>
        <v>82751.938632</v>
      </c>
      <c r="G26" s="14" t="n">
        <f aca="false">SUM(B26:F26)</f>
        <v>397848.870232</v>
      </c>
    </row>
    <row r="27" customFormat="false" ht="15" hidden="false" customHeight="false" outlineLevel="0" collapsed="false">
      <c r="A27" s="8" t="s">
        <v>29</v>
      </c>
      <c r="B27" s="13" t="n">
        <f aca="false">'Scénario ambitieux'!B26</f>
        <v>76450</v>
      </c>
      <c r="C27" s="13" t="n">
        <f aca="false">'Scénario ambitieux'!C26</f>
        <v>77979</v>
      </c>
      <c r="D27" s="13" t="n">
        <f aca="false">'Scénario ambitieux'!D26</f>
        <v>79538.58</v>
      </c>
      <c r="E27" s="13" t="n">
        <f aca="false">'Scénario ambitieux'!E26</f>
        <v>81129.3516</v>
      </c>
      <c r="F27" s="13" t="n">
        <f aca="false">'Scénario ambitieux'!F26</f>
        <v>82751.938632</v>
      </c>
      <c r="G27" s="14" t="n">
        <f aca="false">SUM(B27:F27)</f>
        <v>397848.870232</v>
      </c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7" t="s">
        <v>35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25</v>
      </c>
      <c r="G29" s="7" t="s">
        <v>32</v>
      </c>
    </row>
    <row r="30" customFormat="false" ht="15" hidden="false" customHeight="false" outlineLevel="0" collapsed="false">
      <c r="A30" s="8" t="s">
        <v>27</v>
      </c>
      <c r="B30" s="13" t="n">
        <f aca="false">'Scénario prudent'!B28</f>
        <v>24804</v>
      </c>
      <c r="C30" s="13" t="n">
        <f aca="false">'Scénario prudent'!C28</f>
        <v>42480</v>
      </c>
      <c r="D30" s="13" t="n">
        <f aca="false">'Scénario prudent'!D28</f>
        <v>61992</v>
      </c>
      <c r="E30" s="13" t="n">
        <f aca="false">'Scénario prudent'!E28</f>
        <v>68760</v>
      </c>
      <c r="F30" s="13" t="n">
        <f aca="false">'Scénario prudent'!F28</f>
        <v>68760</v>
      </c>
      <c r="G30" s="14" t="n">
        <f aca="false">SUM(B30:F30)</f>
        <v>266796</v>
      </c>
    </row>
    <row r="31" customFormat="false" ht="15" hidden="false" customHeight="false" outlineLevel="0" collapsed="false">
      <c r="A31" s="8" t="s">
        <v>28</v>
      </c>
      <c r="B31" s="13" t="n">
        <f aca="false">'Scénario médian'!B28</f>
        <v>43800</v>
      </c>
      <c r="C31" s="13" t="n">
        <f aca="false">'Scénario médian'!C28</f>
        <v>80955</v>
      </c>
      <c r="D31" s="13" t="n">
        <f aca="false">'Scénario médian'!D28</f>
        <v>120750</v>
      </c>
      <c r="E31" s="13" t="n">
        <f aca="false">'Scénario médian'!E28</f>
        <v>132825</v>
      </c>
      <c r="F31" s="13" t="n">
        <f aca="false">'Scénario médian'!F28</f>
        <v>132825</v>
      </c>
      <c r="G31" s="14" t="n">
        <f aca="false">SUM(B31:F31)</f>
        <v>511155</v>
      </c>
    </row>
    <row r="32" customFormat="false" ht="15" hidden="false" customHeight="false" outlineLevel="0" collapsed="false">
      <c r="A32" s="8" t="s">
        <v>29</v>
      </c>
      <c r="B32" s="13" t="n">
        <f aca="false">'Scénario ambitieux'!B28</f>
        <v>69390</v>
      </c>
      <c r="C32" s="13" t="n">
        <f aca="false">'Scénario ambitieux'!C28</f>
        <v>132825</v>
      </c>
      <c r="D32" s="13" t="n">
        <f aca="false">'Scénario ambitieux'!D28</f>
        <v>150000</v>
      </c>
      <c r="E32" s="13" t="n">
        <f aca="false">'Scénario ambitieux'!E28</f>
        <v>150000</v>
      </c>
      <c r="F32" s="13" t="n">
        <f aca="false">'Scénario ambitieux'!F28</f>
        <v>150000</v>
      </c>
      <c r="G32" s="14" t="n">
        <f aca="false">SUM(B32:F32)</f>
        <v>652215</v>
      </c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</row>
    <row r="34" customFormat="false" ht="15" hidden="false" customHeight="false" outlineLevel="0" collapsed="false">
      <c r="A34" s="7" t="s">
        <v>36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25</v>
      </c>
      <c r="G34" s="7" t="s">
        <v>32</v>
      </c>
    </row>
    <row r="35" customFormat="false" ht="15" hidden="false" customHeight="false" outlineLevel="0" collapsed="false">
      <c r="A35" s="8" t="s">
        <v>27</v>
      </c>
      <c r="B35" s="13" t="n">
        <f aca="false">'Scénario prudent'!B29</f>
        <v>122454</v>
      </c>
      <c r="C35" s="13" t="n">
        <f aca="false">'Scénario prudent'!C29</f>
        <v>156659</v>
      </c>
      <c r="D35" s="13" t="n">
        <f aca="false">'Scénario prudent'!D29</f>
        <v>181830.58</v>
      </c>
      <c r="E35" s="13" t="n">
        <f aca="false">'Scénario prudent'!E29</f>
        <v>205689.3516</v>
      </c>
      <c r="F35" s="13" t="n">
        <f aca="false">'Scénario prudent'!F29</f>
        <v>209411.938632</v>
      </c>
      <c r="G35" s="14" t="n">
        <f aca="false">SUM(B35:F35)</f>
        <v>876044.870232</v>
      </c>
    </row>
    <row r="36" customFormat="false" ht="15" hidden="false" customHeight="false" outlineLevel="0" collapsed="false">
      <c r="A36" s="8" t="s">
        <v>28</v>
      </c>
      <c r="B36" s="13" t="n">
        <f aca="false">'Scénario médian'!B29</f>
        <v>141450</v>
      </c>
      <c r="C36" s="13" t="n">
        <f aca="false">'Scénario médian'!C29</f>
        <v>195134</v>
      </c>
      <c r="D36" s="13" t="n">
        <f aca="false">'Scénario médian'!D29</f>
        <v>252588.58</v>
      </c>
      <c r="E36" s="13" t="n">
        <f aca="false">'Scénario médian'!E29</f>
        <v>288954.3516</v>
      </c>
      <c r="F36" s="13" t="n">
        <f aca="false">'Scénario médian'!F29</f>
        <v>292676.938632</v>
      </c>
      <c r="G36" s="14" t="n">
        <f aca="false">SUM(B36:F36)</f>
        <v>1170803.870232</v>
      </c>
    </row>
    <row r="37" customFormat="false" ht="15" hidden="false" customHeight="false" outlineLevel="0" collapsed="false">
      <c r="A37" s="8" t="s">
        <v>29</v>
      </c>
      <c r="B37" s="13" t="n">
        <f aca="false">'Scénario ambitieux'!B29</f>
        <v>167040</v>
      </c>
      <c r="C37" s="13" t="n">
        <f aca="false">'Scénario ambitieux'!C29</f>
        <v>259004</v>
      </c>
      <c r="D37" s="13" t="n">
        <f aca="false">'Scénario ambitieux'!D29</f>
        <v>301038.58</v>
      </c>
      <c r="E37" s="13" t="n">
        <f aca="false">'Scénario ambitieux'!E29</f>
        <v>306129.3516</v>
      </c>
      <c r="F37" s="13" t="n">
        <f aca="false">'Scénario ambitieux'!F29</f>
        <v>327851.938632</v>
      </c>
      <c r="G37" s="14" t="n">
        <f aca="false">SUM(B37:F37)</f>
        <v>1361063.870232</v>
      </c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</row>
    <row r="39" customFormat="false" ht="15" hidden="false" customHeight="false" outlineLevel="0" collapsed="false">
      <c r="A39" s="7" t="s">
        <v>37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25</v>
      </c>
      <c r="G39" s="7" t="s">
        <v>32</v>
      </c>
    </row>
    <row r="40" customFormat="false" ht="15" hidden="false" customHeight="false" outlineLevel="0" collapsed="false">
      <c r="A40" s="8" t="s">
        <v>27</v>
      </c>
      <c r="B40" s="13" t="n">
        <f aca="false">'Scénario prudent'!B32</f>
        <v>-39454</v>
      </c>
      <c r="C40" s="13" t="n">
        <f aca="false">'Scénario prudent'!C32</f>
        <v>72341</v>
      </c>
      <c r="D40" s="13" t="n">
        <f aca="false">'Scénario prudent'!D32</f>
        <v>251169.42</v>
      </c>
      <c r="E40" s="13" t="n">
        <f aca="false">'Scénario prudent'!E32</f>
        <v>431310.6484</v>
      </c>
      <c r="F40" s="13" t="n">
        <f aca="false">'Scénario prudent'!F32</f>
        <v>626588.061368</v>
      </c>
      <c r="G40" s="14" t="n">
        <f aca="false">SUM(B40:F40)</f>
        <v>1341955.129768</v>
      </c>
    </row>
    <row r="41" customFormat="false" ht="15" hidden="false" customHeight="false" outlineLevel="0" collapsed="false">
      <c r="A41" s="8" t="s">
        <v>28</v>
      </c>
      <c r="B41" s="13" t="n">
        <f aca="false">'Scénario médian'!B32</f>
        <v>4550</v>
      </c>
      <c r="C41" s="13" t="n">
        <f aca="false">'Scénario médian'!C32</f>
        <v>208866</v>
      </c>
      <c r="D41" s="13" t="n">
        <f aca="false">'Scénario médian'!D32</f>
        <v>531411.42</v>
      </c>
      <c r="E41" s="13" t="n">
        <f aca="false">'Scénario médian'!E32</f>
        <v>910045.6484</v>
      </c>
      <c r="F41" s="13" t="n">
        <f aca="false">'Scénario médian'!F32</f>
        <v>1291323.061368</v>
      </c>
      <c r="G41" s="14" t="n">
        <f aca="false">SUM(B41:F41)</f>
        <v>2946196.129768</v>
      </c>
    </row>
    <row r="42" customFormat="false" ht="15" hidden="false" customHeight="false" outlineLevel="0" collapsed="false">
      <c r="A42" s="8" t="s">
        <v>29</v>
      </c>
      <c r="B42" s="13" t="n">
        <f aca="false">'Scénario ambitieux'!B32</f>
        <v>71960</v>
      </c>
      <c r="C42" s="13" t="n">
        <f aca="false">'Scénario ambitieux'!C32</f>
        <v>413996</v>
      </c>
      <c r="D42" s="13" t="n">
        <f aca="false">'Scénario ambitieux'!D32</f>
        <v>1017961.42</v>
      </c>
      <c r="E42" s="13" t="n">
        <f aca="false">'Scénario ambitieux'!E32</f>
        <v>1667870.6484</v>
      </c>
      <c r="F42" s="13" t="n">
        <f aca="false">'Scénario ambitieux'!F32</f>
        <v>2306148.061368</v>
      </c>
      <c r="G42" s="14" t="n">
        <f aca="false">SUM(B42:F42)</f>
        <v>5477936.129768</v>
      </c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</row>
    <row r="44" customFormat="false" ht="15" hidden="false" customHeight="false" outlineLevel="0" collapsed="false">
      <c r="A44" s="7" t="s">
        <v>38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25</v>
      </c>
      <c r="G44" s="7" t="s">
        <v>26</v>
      </c>
    </row>
    <row r="45" customFormat="false" ht="15" hidden="false" customHeight="false" outlineLevel="0" collapsed="false">
      <c r="A45" s="8" t="s">
        <v>27</v>
      </c>
      <c r="B45" s="13" t="n">
        <f aca="false">'Scénario prudent'!B33</f>
        <v>-39454</v>
      </c>
      <c r="C45" s="13" t="n">
        <f aca="false">'Scénario prudent'!C33</f>
        <v>32887</v>
      </c>
      <c r="D45" s="13" t="n">
        <f aca="false">'Scénario prudent'!D33</f>
        <v>284056.42</v>
      </c>
      <c r="E45" s="13" t="n">
        <f aca="false">'Scénario prudent'!E33</f>
        <v>715367.0684</v>
      </c>
      <c r="F45" s="13" t="n">
        <f aca="false">'Scénario prudent'!F33</f>
        <v>1341955.129768</v>
      </c>
      <c r="G45" s="14" t="n">
        <f aca="false">F45</f>
        <v>1341955.129768</v>
      </c>
    </row>
    <row r="46" customFormat="false" ht="15" hidden="false" customHeight="false" outlineLevel="0" collapsed="false">
      <c r="A46" s="8" t="s">
        <v>28</v>
      </c>
      <c r="B46" s="13" t="n">
        <f aca="false">'Scénario médian'!B33</f>
        <v>4550</v>
      </c>
      <c r="C46" s="13" t="n">
        <f aca="false">'Scénario médian'!C33</f>
        <v>213416</v>
      </c>
      <c r="D46" s="13" t="n">
        <f aca="false">'Scénario médian'!D33</f>
        <v>744827.42</v>
      </c>
      <c r="E46" s="13" t="n">
        <f aca="false">'Scénario médian'!E33</f>
        <v>1654873.0684</v>
      </c>
      <c r="F46" s="13" t="n">
        <f aca="false">'Scénario médian'!F33</f>
        <v>2946196.129768</v>
      </c>
      <c r="G46" s="14" t="n">
        <f aca="false">F46</f>
        <v>2946196.129768</v>
      </c>
    </row>
    <row r="47" customFormat="false" ht="15" hidden="false" customHeight="false" outlineLevel="0" collapsed="false">
      <c r="A47" s="8" t="s">
        <v>29</v>
      </c>
      <c r="B47" s="13" t="n">
        <f aca="false">'Scénario ambitieux'!B33</f>
        <v>71960</v>
      </c>
      <c r="C47" s="13" t="n">
        <f aca="false">'Scénario ambitieux'!C33</f>
        <v>485956</v>
      </c>
      <c r="D47" s="13" t="n">
        <f aca="false">'Scénario ambitieux'!D33</f>
        <v>1503917.42</v>
      </c>
      <c r="E47" s="13" t="n">
        <f aca="false">'Scénario ambitieux'!E33</f>
        <v>3171788.0684</v>
      </c>
      <c r="F47" s="13" t="n">
        <f aca="false">'Scénario ambitieux'!F33</f>
        <v>5477936.129768</v>
      </c>
      <c r="G47" s="14" t="n">
        <f aca="false">F47</f>
        <v>5477936.129768</v>
      </c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</row>
    <row r="49" customFormat="false" ht="15" hidden="false" customHeight="false" outlineLevel="0" collapsed="false">
      <c r="A49" s="7" t="s">
        <v>39</v>
      </c>
      <c r="B49" s="7" t="s">
        <v>40</v>
      </c>
      <c r="C49" s="7" t="s">
        <v>41</v>
      </c>
      <c r="D49" s="7" t="s">
        <v>42</v>
      </c>
      <c r="E49" s="7" t="s">
        <v>43</v>
      </c>
      <c r="F49" s="7"/>
      <c r="G49" s="7"/>
    </row>
    <row r="50" customFormat="false" ht="15" hidden="false" customHeight="false" outlineLevel="0" collapsed="false">
      <c r="A50" s="8" t="s">
        <v>27</v>
      </c>
      <c r="B50" s="9" t="n">
        <f aca="false">'Scénario prudent'!F12</f>
        <v>64</v>
      </c>
      <c r="C50" s="9" t="n">
        <f aca="false">'Scénario prudent'!F13</f>
        <v>36</v>
      </c>
      <c r="D50" s="9" t="n">
        <f aca="false">'Scénario prudent'!F14</f>
        <v>12</v>
      </c>
      <c r="E50" s="10" t="n">
        <f aca="false">SUM(B50:D50)</f>
        <v>112</v>
      </c>
      <c r="F50" s="5"/>
      <c r="G50" s="5"/>
    </row>
    <row r="51" customFormat="false" ht="15" hidden="false" customHeight="false" outlineLevel="0" collapsed="false">
      <c r="A51" s="8" t="s">
        <v>28</v>
      </c>
      <c r="B51" s="9" t="n">
        <f aca="false">'Scénario médian'!F12</f>
        <v>103</v>
      </c>
      <c r="C51" s="9" t="n">
        <f aca="false">'Scénario médian'!F13</f>
        <v>69</v>
      </c>
      <c r="D51" s="9" t="n">
        <f aca="false">'Scénario médian'!F14</f>
        <v>28</v>
      </c>
      <c r="E51" s="10" t="n">
        <f aca="false">SUM(B51:D51)</f>
        <v>200</v>
      </c>
      <c r="F51" s="5"/>
      <c r="G51" s="5"/>
    </row>
    <row r="52" customFormat="false" ht="15" hidden="false" customHeight="false" outlineLevel="0" collapsed="false">
      <c r="A52" s="8" t="s">
        <v>29</v>
      </c>
      <c r="B52" s="9" t="n">
        <f aca="false">'Scénario ambitieux'!F12</f>
        <v>147</v>
      </c>
      <c r="C52" s="9" t="n">
        <f aca="false">'Scénario ambitieux'!F13</f>
        <v>115</v>
      </c>
      <c r="D52" s="9" t="n">
        <f aca="false">'Scénario ambitieux'!F14</f>
        <v>54</v>
      </c>
      <c r="E52" s="10" t="n">
        <f aca="false">SUM(B52:D52)</f>
        <v>316</v>
      </c>
      <c r="F52" s="5"/>
      <c r="G5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4" t="s">
        <v>44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6" t="s">
        <v>45</v>
      </c>
      <c r="B2" s="5"/>
      <c r="C2" s="5"/>
      <c r="D2" s="5"/>
      <c r="E2" s="5"/>
      <c r="F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</row>
    <row r="4" customFormat="false" ht="39.55" hidden="false" customHeight="false" outlineLevel="0" collapsed="false">
      <c r="A4" s="7" t="s">
        <v>46</v>
      </c>
      <c r="B4" s="7" t="s">
        <v>47</v>
      </c>
      <c r="C4" s="7" t="s">
        <v>48</v>
      </c>
      <c r="D4" s="7" t="s">
        <v>49</v>
      </c>
      <c r="E4" s="7" t="s">
        <v>50</v>
      </c>
      <c r="F4" s="7" t="s">
        <v>51</v>
      </c>
    </row>
    <row r="5" customFormat="false" ht="15" hidden="false" customHeight="false" outlineLevel="0" collapsed="false">
      <c r="A5" s="15" t="s">
        <v>52</v>
      </c>
      <c r="B5" s="16"/>
      <c r="C5" s="16"/>
      <c r="D5" s="16"/>
      <c r="E5" s="16"/>
      <c r="F5" s="16"/>
    </row>
    <row r="6" customFormat="false" ht="39.55" hidden="false" customHeight="false" outlineLevel="0" collapsed="false">
      <c r="A6" s="17" t="s">
        <v>53</v>
      </c>
      <c r="B6" s="18" t="n">
        <v>31</v>
      </c>
      <c r="C6" s="19" t="s">
        <v>54</v>
      </c>
      <c r="D6" s="19" t="s">
        <v>55</v>
      </c>
      <c r="E6" s="20" t="n">
        <f aca="false">IF(C6="Oui",B6,0)</f>
        <v>0</v>
      </c>
      <c r="F6" s="17" t="s">
        <v>56</v>
      </c>
    </row>
    <row r="7" customFormat="false" ht="15" hidden="false" customHeight="false" outlineLevel="0" collapsed="false">
      <c r="A7" s="17" t="s">
        <v>57</v>
      </c>
      <c r="B7" s="18" t="n">
        <v>67</v>
      </c>
      <c r="C7" s="19" t="s">
        <v>58</v>
      </c>
      <c r="D7" s="19" t="s">
        <v>42</v>
      </c>
      <c r="E7" s="20" t="n">
        <f aca="false">IF(C7="Oui",B7,0)</f>
        <v>67</v>
      </c>
      <c r="F7" s="17" t="s">
        <v>59</v>
      </c>
    </row>
    <row r="8" customFormat="false" ht="15" hidden="false" customHeight="false" outlineLevel="0" collapsed="false">
      <c r="A8" s="17" t="s">
        <v>60</v>
      </c>
      <c r="B8" s="18" t="n">
        <v>69</v>
      </c>
      <c r="C8" s="19" t="s">
        <v>58</v>
      </c>
      <c r="D8" s="19" t="s">
        <v>41</v>
      </c>
      <c r="E8" s="20" t="n">
        <f aca="false">IF(C8="Oui",B8,0)</f>
        <v>69</v>
      </c>
      <c r="F8" s="17" t="s">
        <v>61</v>
      </c>
    </row>
    <row r="9" customFormat="false" ht="15" hidden="false" customHeight="false" outlineLevel="0" collapsed="false">
      <c r="A9" s="17" t="s">
        <v>62</v>
      </c>
      <c r="B9" s="18" t="n">
        <v>3</v>
      </c>
      <c r="C9" s="19" t="s">
        <v>58</v>
      </c>
      <c r="D9" s="19" t="s">
        <v>40</v>
      </c>
      <c r="E9" s="20" t="n">
        <f aca="false">IF(C9="Oui",B9,0)</f>
        <v>3</v>
      </c>
      <c r="F9" s="17"/>
    </row>
    <row r="10" customFormat="false" ht="15" hidden="false" customHeight="false" outlineLevel="0" collapsed="false">
      <c r="A10" s="17" t="s">
        <v>63</v>
      </c>
      <c r="B10" s="18" t="n">
        <v>1</v>
      </c>
      <c r="C10" s="19" t="s">
        <v>58</v>
      </c>
      <c r="D10" s="19" t="s">
        <v>40</v>
      </c>
      <c r="E10" s="20" t="n">
        <f aca="false">IF(C10="Oui",B10,0)</f>
        <v>1</v>
      </c>
      <c r="F10" s="17"/>
    </row>
    <row r="11" customFormat="false" ht="15" hidden="false" customHeight="false" outlineLevel="0" collapsed="false">
      <c r="A11" s="15" t="s">
        <v>64</v>
      </c>
      <c r="B11" s="16"/>
      <c r="C11" s="16"/>
      <c r="D11" s="16"/>
      <c r="E11" s="16"/>
      <c r="F11" s="16"/>
    </row>
    <row r="12" customFormat="false" ht="26.85" hidden="false" customHeight="false" outlineLevel="0" collapsed="false">
      <c r="A12" s="17" t="s">
        <v>65</v>
      </c>
      <c r="B12" s="18" t="n">
        <v>35</v>
      </c>
      <c r="C12" s="19" t="s">
        <v>58</v>
      </c>
      <c r="D12" s="19" t="s">
        <v>42</v>
      </c>
      <c r="E12" s="20" t="n">
        <f aca="false">IF(C12="Oui",B12,0)</f>
        <v>35</v>
      </c>
      <c r="F12" s="17" t="s">
        <v>66</v>
      </c>
    </row>
    <row r="13" customFormat="false" ht="15" hidden="false" customHeight="false" outlineLevel="0" collapsed="false">
      <c r="A13" s="17" t="s">
        <v>67</v>
      </c>
      <c r="B13" s="18" t="n">
        <v>160</v>
      </c>
      <c r="C13" s="19" t="s">
        <v>58</v>
      </c>
      <c r="D13" s="19" t="s">
        <v>40</v>
      </c>
      <c r="E13" s="20" t="n">
        <f aca="false">IF(C13="Oui",B13,0)</f>
        <v>160</v>
      </c>
      <c r="F13" s="17" t="s">
        <v>68</v>
      </c>
    </row>
    <row r="14" customFormat="false" ht="15" hidden="false" customHeight="false" outlineLevel="0" collapsed="false">
      <c r="A14" s="17" t="s">
        <v>69</v>
      </c>
      <c r="B14" s="18" t="n">
        <v>98</v>
      </c>
      <c r="C14" s="19" t="s">
        <v>58</v>
      </c>
      <c r="D14" s="19" t="s">
        <v>40</v>
      </c>
      <c r="E14" s="20" t="n">
        <f aca="false">IF(C14="Oui",B14,0)</f>
        <v>98</v>
      </c>
      <c r="F14" s="17" t="s">
        <v>70</v>
      </c>
    </row>
    <row r="15" customFormat="false" ht="15" hidden="false" customHeight="false" outlineLevel="0" collapsed="false">
      <c r="A15" s="17" t="s">
        <v>71</v>
      </c>
      <c r="B15" s="18" t="n">
        <v>3</v>
      </c>
      <c r="C15" s="19" t="s">
        <v>54</v>
      </c>
      <c r="D15" s="19" t="s">
        <v>55</v>
      </c>
      <c r="E15" s="20" t="n">
        <f aca="false">IF(C15="Oui",B15,0)</f>
        <v>0</v>
      </c>
      <c r="F15" s="17" t="s">
        <v>72</v>
      </c>
    </row>
    <row r="16" customFormat="false" ht="15" hidden="false" customHeight="false" outlineLevel="0" collapsed="false">
      <c r="A16" s="17" t="s">
        <v>73</v>
      </c>
      <c r="B16" s="18" t="n">
        <v>3</v>
      </c>
      <c r="C16" s="19" t="s">
        <v>54</v>
      </c>
      <c r="D16" s="19" t="s">
        <v>55</v>
      </c>
      <c r="E16" s="20" t="n">
        <f aca="false">IF(C16="Oui",B16,0)</f>
        <v>0</v>
      </c>
      <c r="F16" s="17" t="s">
        <v>72</v>
      </c>
    </row>
    <row r="17" customFormat="false" ht="26.85" hidden="false" customHeight="false" outlineLevel="0" collapsed="false">
      <c r="A17" s="17" t="s">
        <v>74</v>
      </c>
      <c r="B17" s="18" t="n">
        <v>402</v>
      </c>
      <c r="C17" s="19" t="s">
        <v>58</v>
      </c>
      <c r="D17" s="19" t="s">
        <v>40</v>
      </c>
      <c r="E17" s="20" t="n">
        <f aca="false">IF(C17="Oui",B17,0)</f>
        <v>402</v>
      </c>
      <c r="F17" s="17" t="s">
        <v>75</v>
      </c>
    </row>
    <row r="18" customFormat="false" ht="26.85" hidden="false" customHeight="false" outlineLevel="0" collapsed="false">
      <c r="A18" s="17" t="s">
        <v>76</v>
      </c>
      <c r="B18" s="18" t="n">
        <v>234</v>
      </c>
      <c r="C18" s="19" t="s">
        <v>58</v>
      </c>
      <c r="D18" s="19" t="s">
        <v>40</v>
      </c>
      <c r="E18" s="20" t="n">
        <f aca="false">IF(C18="Oui",B18,0)</f>
        <v>234</v>
      </c>
      <c r="F18" s="17" t="s">
        <v>77</v>
      </c>
    </row>
    <row r="19" customFormat="false" ht="15" hidden="false" customHeight="false" outlineLevel="0" collapsed="false">
      <c r="A19" s="17" t="s">
        <v>78</v>
      </c>
      <c r="B19" s="18" t="n">
        <v>87</v>
      </c>
      <c r="C19" s="19" t="s">
        <v>58</v>
      </c>
      <c r="D19" s="19" t="s">
        <v>40</v>
      </c>
      <c r="E19" s="20" t="n">
        <f aca="false">IF(C19="Oui",B19,0)</f>
        <v>87</v>
      </c>
      <c r="F19" s="17" t="s">
        <v>79</v>
      </c>
    </row>
    <row r="20" customFormat="false" ht="15" hidden="false" customHeight="false" outlineLevel="0" collapsed="false">
      <c r="A20" s="17" t="s">
        <v>80</v>
      </c>
      <c r="B20" s="18" t="n">
        <v>46</v>
      </c>
      <c r="C20" s="19" t="s">
        <v>58</v>
      </c>
      <c r="D20" s="19" t="s">
        <v>41</v>
      </c>
      <c r="E20" s="20" t="n">
        <f aca="false">IF(C20="Oui",B20,0)</f>
        <v>46</v>
      </c>
      <c r="F20" s="17"/>
    </row>
    <row r="21" customFormat="false" ht="15" hidden="false" customHeight="false" outlineLevel="0" collapsed="false">
      <c r="A21" s="17" t="s">
        <v>81</v>
      </c>
      <c r="B21" s="18" t="n">
        <v>23</v>
      </c>
      <c r="C21" s="19" t="s">
        <v>58</v>
      </c>
      <c r="D21" s="19" t="s">
        <v>41</v>
      </c>
      <c r="E21" s="20" t="n">
        <f aca="false">IF(C21="Oui",B21,0)</f>
        <v>23</v>
      </c>
      <c r="F21" s="17"/>
    </row>
    <row r="22" customFormat="false" ht="15" hidden="false" customHeight="false" outlineLevel="0" collapsed="false">
      <c r="A22" s="17" t="s">
        <v>82</v>
      </c>
      <c r="B22" s="18" t="n">
        <v>31</v>
      </c>
      <c r="C22" s="19" t="s">
        <v>58</v>
      </c>
      <c r="D22" s="19" t="s">
        <v>42</v>
      </c>
      <c r="E22" s="20" t="n">
        <f aca="false">IF(C22="Oui",B22,0)</f>
        <v>31</v>
      </c>
      <c r="F22" s="17" t="s">
        <v>83</v>
      </c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</row>
    <row r="24" customFormat="false" ht="15" hidden="false" customHeight="false" outlineLevel="0" collapsed="false">
      <c r="A24" s="8" t="s">
        <v>84</v>
      </c>
      <c r="B24" s="10" t="n">
        <f aca="false">SUM(B5:B22)</f>
        <v>1293</v>
      </c>
      <c r="C24" s="5"/>
      <c r="D24" s="8" t="s">
        <v>85</v>
      </c>
      <c r="E24" s="10" t="n">
        <f aca="false">SUM(E5:E22)</f>
        <v>1256</v>
      </c>
      <c r="F24" s="5"/>
    </row>
    <row r="25" customFormat="false" ht="15" hidden="false" customHeight="false" outlineLevel="0" collapsed="false">
      <c r="A25" s="21" t="s">
        <v>86</v>
      </c>
      <c r="B25" s="22" t="n">
        <v>0.96</v>
      </c>
      <c r="C25" s="5"/>
      <c r="D25" s="5"/>
      <c r="E25" s="5"/>
      <c r="F25" s="5"/>
    </row>
    <row r="26" customFormat="false" ht="15" hidden="false" customHeight="false" outlineLevel="0" collapsed="false">
      <c r="A26" s="21" t="s">
        <v>87</v>
      </c>
      <c r="B26" s="20" t="n">
        <f aca="false">ROUND(B24/B25,0)</f>
        <v>1347</v>
      </c>
      <c r="C26" s="5"/>
      <c r="D26" s="5"/>
      <c r="E26" s="5"/>
      <c r="F26" s="5"/>
    </row>
    <row r="27" customFormat="false" ht="15" hidden="false" customHeight="false" outlineLevel="0" collapsed="false">
      <c r="A27" s="21" t="s">
        <v>88</v>
      </c>
      <c r="B27" s="18" t="n">
        <v>1824</v>
      </c>
      <c r="C27" s="5"/>
      <c r="D27" s="5"/>
      <c r="E27" s="5"/>
      <c r="F27" s="5"/>
    </row>
    <row r="28" customFormat="false" ht="15" hidden="false" customHeight="false" outlineLevel="0" collapsed="false">
      <c r="A28" s="21" t="s">
        <v>89</v>
      </c>
      <c r="B28" s="20" t="n">
        <f aca="false">B27-B26</f>
        <v>477</v>
      </c>
      <c r="C28" s="5"/>
      <c r="D28" s="5"/>
      <c r="E28" s="5"/>
      <c r="F28" s="5"/>
    </row>
    <row r="29" customFormat="false" ht="15" hidden="false" customHeight="false" outlineLevel="0" collapsed="false">
      <c r="A29" s="21" t="s">
        <v>90</v>
      </c>
      <c r="B29" s="23" t="n">
        <f aca="false">E24/B27</f>
        <v>0.68859649122807</v>
      </c>
      <c r="C29" s="5"/>
      <c r="D29" s="5"/>
      <c r="E29" s="5"/>
      <c r="F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</row>
    <row r="31" customFormat="false" ht="15" hidden="false" customHeight="false" outlineLevel="0" collapsed="false">
      <c r="A31" s="8" t="s">
        <v>91</v>
      </c>
      <c r="B31" s="5"/>
      <c r="C31" s="5"/>
      <c r="D31" s="5"/>
      <c r="E31" s="5"/>
      <c r="F31" s="5"/>
    </row>
    <row r="32" customFormat="false" ht="15" hidden="false" customHeight="false" outlineLevel="0" collapsed="false">
      <c r="A32" s="21" t="s">
        <v>40</v>
      </c>
      <c r="B32" s="20" t="n">
        <f aca="false">SUMIFS(E5:E22,D5:D22,"Fanal")</f>
        <v>985</v>
      </c>
      <c r="C32" s="23" t="n">
        <f aca="false">B32/E24</f>
        <v>0.784235668789809</v>
      </c>
      <c r="D32" s="5"/>
      <c r="E32" s="5"/>
      <c r="F32" s="5"/>
    </row>
    <row r="33" customFormat="false" ht="15" hidden="false" customHeight="false" outlineLevel="0" collapsed="false">
      <c r="A33" s="21" t="s">
        <v>41</v>
      </c>
      <c r="B33" s="20" t="n">
        <f aca="false">SUMIFS(E5:E22,D5:D22,"Vigie")</f>
        <v>138</v>
      </c>
      <c r="C33" s="23" t="n">
        <f aca="false">B33/E24</f>
        <v>0.109872611464968</v>
      </c>
      <c r="D33" s="5"/>
      <c r="E33" s="5"/>
      <c r="F33" s="5"/>
    </row>
    <row r="34" customFormat="false" ht="15" hidden="false" customHeight="false" outlineLevel="0" collapsed="false">
      <c r="A34" s="21" t="s">
        <v>42</v>
      </c>
      <c r="B34" s="20" t="n">
        <f aca="false">SUMIFS(E5:E22,D5:D22,"Phare")</f>
        <v>133</v>
      </c>
      <c r="C34" s="23" t="n">
        <f aca="false">B34/E24</f>
        <v>0.105891719745223</v>
      </c>
      <c r="D34" s="5"/>
      <c r="E34" s="5"/>
      <c r="F3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4"/>
    <col collapsed="false" customWidth="true" hidden="false" outlineLevel="0" max="7" min="7" style="0" width="50"/>
  </cols>
  <sheetData>
    <row r="1" customFormat="false" ht="17.35" hidden="false" customHeight="false" outlineLevel="0" collapsed="false">
      <c r="A1" s="4" t="s">
        <v>92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93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7" t="s">
        <v>94</v>
      </c>
      <c r="B4" s="7" t="s">
        <v>95</v>
      </c>
      <c r="C4" s="7"/>
      <c r="D4" s="7"/>
      <c r="E4" s="7"/>
      <c r="F4" s="7"/>
      <c r="G4" s="7" t="s">
        <v>96</v>
      </c>
    </row>
    <row r="5" customFormat="false" ht="15" hidden="false" customHeight="false" outlineLevel="0" collapsed="false">
      <c r="A5" s="21" t="s">
        <v>40</v>
      </c>
      <c r="B5" s="24" t="n">
        <v>5000</v>
      </c>
      <c r="C5" s="5"/>
      <c r="D5" s="5"/>
      <c r="E5" s="5"/>
      <c r="F5" s="5"/>
      <c r="G5" s="21" t="s">
        <v>97</v>
      </c>
    </row>
    <row r="6" customFormat="false" ht="15" hidden="false" customHeight="false" outlineLevel="0" collapsed="false">
      <c r="A6" s="21" t="s">
        <v>41</v>
      </c>
      <c r="B6" s="24" t="n">
        <v>9000</v>
      </c>
      <c r="C6" s="5"/>
      <c r="D6" s="5"/>
      <c r="E6" s="5"/>
      <c r="F6" s="5"/>
      <c r="G6" s="21" t="s">
        <v>97</v>
      </c>
    </row>
    <row r="7" customFormat="false" ht="15" hidden="false" customHeight="false" outlineLevel="0" collapsed="false">
      <c r="A7" s="21" t="s">
        <v>42</v>
      </c>
      <c r="B7" s="24" t="n">
        <v>16000</v>
      </c>
      <c r="C7" s="5"/>
      <c r="D7" s="5"/>
      <c r="E7" s="5"/>
      <c r="F7" s="5"/>
      <c r="G7" s="21" t="s">
        <v>97</v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26.85" hidden="false" customHeight="false" outlineLevel="0" collapsed="false">
      <c r="A9" s="7" t="s">
        <v>98</v>
      </c>
      <c r="B9" s="7" t="s">
        <v>99</v>
      </c>
      <c r="C9" s="7" t="s">
        <v>100</v>
      </c>
      <c r="D9" s="7" t="s">
        <v>101</v>
      </c>
      <c r="E9" s="7"/>
      <c r="F9" s="7"/>
      <c r="G9" s="7" t="s">
        <v>96</v>
      </c>
    </row>
    <row r="10" customFormat="false" ht="15" hidden="false" customHeight="false" outlineLevel="0" collapsed="false">
      <c r="A10" s="21" t="s">
        <v>102</v>
      </c>
      <c r="B10" s="18" t="n">
        <v>30</v>
      </c>
      <c r="C10" s="25" t="n">
        <v>400</v>
      </c>
      <c r="D10" s="26" t="n">
        <f aca="false">C10*12</f>
        <v>4800</v>
      </c>
      <c r="E10" s="5"/>
      <c r="F10" s="5"/>
      <c r="G10" s="21" t="s">
        <v>103</v>
      </c>
    </row>
    <row r="11" customFormat="false" ht="15" hidden="false" customHeight="false" outlineLevel="0" collapsed="false">
      <c r="A11" s="21" t="s">
        <v>102</v>
      </c>
      <c r="B11" s="18" t="n">
        <v>80</v>
      </c>
      <c r="C11" s="25" t="n">
        <v>1400</v>
      </c>
      <c r="D11" s="26" t="n">
        <f aca="false">C11*12</f>
        <v>16800</v>
      </c>
      <c r="E11" s="5"/>
      <c r="F11" s="5"/>
      <c r="G11" s="21" t="s">
        <v>104</v>
      </c>
    </row>
    <row r="12" customFormat="false" ht="15" hidden="false" customHeight="false" outlineLevel="0" collapsed="false">
      <c r="A12" s="21" t="s">
        <v>102</v>
      </c>
      <c r="B12" s="18" t="n">
        <v>130</v>
      </c>
      <c r="C12" s="25" t="n">
        <v>2400</v>
      </c>
      <c r="D12" s="26" t="n">
        <f aca="false">C12*12</f>
        <v>28800</v>
      </c>
      <c r="E12" s="5"/>
      <c r="F12" s="5"/>
      <c r="G12" s="21" t="s">
        <v>105</v>
      </c>
    </row>
    <row r="13" customFormat="false" ht="15" hidden="false" customHeight="false" outlineLevel="0" collapsed="false">
      <c r="A13" s="21" t="s">
        <v>102</v>
      </c>
      <c r="B13" s="18" t="n">
        <v>300</v>
      </c>
      <c r="C13" s="24" t="n">
        <v>4000</v>
      </c>
      <c r="D13" s="26" t="n">
        <f aca="false">C13*12</f>
        <v>48000</v>
      </c>
      <c r="E13" s="5"/>
      <c r="F13" s="5"/>
      <c r="G13" s="21" t="s">
        <v>106</v>
      </c>
    </row>
    <row r="14" customFormat="false" ht="15" hidden="false" customHeight="false" outlineLevel="0" collapsed="false">
      <c r="A14" s="21" t="s">
        <v>102</v>
      </c>
      <c r="B14" s="18" t="n">
        <v>100000</v>
      </c>
      <c r="C14" s="25" t="n">
        <v>5500</v>
      </c>
      <c r="D14" s="26" t="n">
        <f aca="false">C14*12</f>
        <v>66000</v>
      </c>
      <c r="E14" s="5"/>
      <c r="F14" s="5"/>
      <c r="G14" s="21" t="s">
        <v>107</v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7" t="s">
        <v>108</v>
      </c>
      <c r="B16" s="7" t="s">
        <v>109</v>
      </c>
      <c r="C16" s="7"/>
      <c r="D16" s="7"/>
      <c r="E16" s="7"/>
      <c r="F16" s="7"/>
      <c r="G16" s="7" t="s">
        <v>96</v>
      </c>
    </row>
    <row r="17" customFormat="false" ht="15" hidden="false" customHeight="false" outlineLevel="0" collapsed="false">
      <c r="A17" s="21" t="s">
        <v>110</v>
      </c>
      <c r="B17" s="24" t="n">
        <v>55000</v>
      </c>
      <c r="C17" s="5"/>
      <c r="D17" s="5"/>
      <c r="E17" s="5"/>
      <c r="F17" s="5"/>
      <c r="G17" s="21" t="s">
        <v>111</v>
      </c>
    </row>
    <row r="18" customFormat="false" ht="15" hidden="false" customHeight="false" outlineLevel="0" collapsed="false">
      <c r="A18" s="21" t="s">
        <v>112</v>
      </c>
      <c r="B18" s="22" t="n">
        <v>0.39</v>
      </c>
      <c r="C18" s="5"/>
      <c r="D18" s="5"/>
      <c r="E18" s="5"/>
      <c r="F18" s="5"/>
      <c r="G18" s="21" t="s">
        <v>113</v>
      </c>
    </row>
    <row r="19" customFormat="false" ht="15" hidden="false" customHeight="false" outlineLevel="0" collapsed="false">
      <c r="A19" s="21" t="s">
        <v>114</v>
      </c>
      <c r="B19" s="26" t="n">
        <f aca="false">B17*(1+B18)</f>
        <v>76450</v>
      </c>
      <c r="C19" s="5"/>
      <c r="D19" s="5"/>
      <c r="E19" s="5"/>
      <c r="F19" s="5"/>
      <c r="G19" s="5"/>
    </row>
    <row r="20" customFormat="false" ht="15" hidden="false" customHeight="false" outlineLevel="0" collapsed="false">
      <c r="A20" s="21" t="s">
        <v>115</v>
      </c>
      <c r="B20" s="22" t="n">
        <v>0.02</v>
      </c>
      <c r="C20" s="5"/>
      <c r="D20" s="5"/>
      <c r="E20" s="5"/>
      <c r="F20" s="5"/>
      <c r="G20" s="21" t="s">
        <v>116</v>
      </c>
    </row>
    <row r="21" customFormat="false" ht="15" hidden="false" customHeight="false" outlineLevel="0" collapsed="false">
      <c r="A21" s="21" t="s">
        <v>117</v>
      </c>
      <c r="B21" s="18" t="n">
        <v>1</v>
      </c>
      <c r="C21" s="5"/>
      <c r="D21" s="5"/>
      <c r="E21" s="5"/>
      <c r="F21" s="5"/>
      <c r="G21" s="21" t="s">
        <v>118</v>
      </c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26.85" hidden="false" customHeight="false" outlineLevel="0" collapsed="false">
      <c r="A23" s="7" t="s">
        <v>119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25</v>
      </c>
      <c r="G23" s="7" t="s">
        <v>120</v>
      </c>
    </row>
    <row r="24" customFormat="false" ht="15" hidden="false" customHeight="false" outlineLevel="0" collapsed="false">
      <c r="A24" s="21" t="s">
        <v>121</v>
      </c>
      <c r="B24" s="25" t="n">
        <v>3000</v>
      </c>
      <c r="C24" s="25" t="n">
        <v>3000</v>
      </c>
      <c r="D24" s="25" t="n">
        <v>3500</v>
      </c>
      <c r="E24" s="25" t="n">
        <v>4000</v>
      </c>
      <c r="F24" s="25" t="n">
        <v>4500</v>
      </c>
      <c r="G24" s="21" t="s">
        <v>116</v>
      </c>
    </row>
    <row r="25" customFormat="false" ht="15" hidden="false" customHeight="false" outlineLevel="0" collapsed="false">
      <c r="A25" s="21" t="s">
        <v>122</v>
      </c>
      <c r="B25" s="25" t="n">
        <v>2400</v>
      </c>
      <c r="C25" s="25" t="n">
        <v>2400</v>
      </c>
      <c r="D25" s="25" t="n">
        <v>3000</v>
      </c>
      <c r="E25" s="25" t="n">
        <v>3000</v>
      </c>
      <c r="F25" s="25" t="n">
        <v>3600</v>
      </c>
      <c r="G25" s="21" t="s">
        <v>116</v>
      </c>
    </row>
    <row r="26" customFormat="false" ht="15" hidden="false" customHeight="false" outlineLevel="0" collapsed="false">
      <c r="A26" s="21" t="s">
        <v>123</v>
      </c>
      <c r="B26" s="25" t="n">
        <v>6000</v>
      </c>
      <c r="C26" s="25" t="n">
        <v>6000</v>
      </c>
      <c r="D26" s="25" t="n">
        <v>7000</v>
      </c>
      <c r="E26" s="25" t="n">
        <v>8000</v>
      </c>
      <c r="F26" s="25" t="n">
        <v>9000</v>
      </c>
      <c r="G26" s="21" t="s">
        <v>116</v>
      </c>
    </row>
    <row r="27" customFormat="false" ht="15" hidden="false" customHeight="false" outlineLevel="0" collapsed="false">
      <c r="A27" s="21" t="s">
        <v>124</v>
      </c>
      <c r="B27" s="25" t="n">
        <v>5000</v>
      </c>
      <c r="C27" s="25" t="n">
        <v>8000</v>
      </c>
      <c r="D27" s="25" t="n">
        <v>10000</v>
      </c>
      <c r="E27" s="25" t="n">
        <v>12000</v>
      </c>
      <c r="F27" s="25" t="n">
        <v>12000</v>
      </c>
      <c r="G27" s="21" t="s">
        <v>125</v>
      </c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7" t="s">
        <v>126</v>
      </c>
      <c r="B29" s="7" t="s">
        <v>109</v>
      </c>
      <c r="C29" s="7"/>
      <c r="D29" s="7"/>
      <c r="E29" s="7"/>
      <c r="F29" s="7"/>
      <c r="G29" s="7" t="s">
        <v>96</v>
      </c>
    </row>
    <row r="30" customFormat="false" ht="15" hidden="false" customHeight="false" outlineLevel="0" collapsed="false">
      <c r="A30" s="21" t="s">
        <v>127</v>
      </c>
      <c r="B30" s="27" t="n">
        <v>0.3</v>
      </c>
      <c r="C30" s="5"/>
      <c r="D30" s="5"/>
      <c r="E30" s="5"/>
      <c r="F30" s="5"/>
      <c r="G30" s="21" t="s">
        <v>128</v>
      </c>
    </row>
    <row r="31" customFormat="false" ht="15" hidden="false" customHeight="false" outlineLevel="0" collapsed="false">
      <c r="A31" s="21" t="s">
        <v>129</v>
      </c>
      <c r="B31" s="25" t="n">
        <v>150000</v>
      </c>
      <c r="C31" s="5"/>
      <c r="D31" s="5"/>
      <c r="E31" s="5"/>
      <c r="F31" s="5"/>
      <c r="G31" s="21" t="s">
        <v>130</v>
      </c>
    </row>
    <row r="32" customFormat="false" ht="15" hidden="false" customHeight="false" outlineLevel="0" collapsed="false">
      <c r="A32" s="21" t="s">
        <v>131</v>
      </c>
      <c r="B32" s="27" t="n">
        <v>0.05</v>
      </c>
      <c r="C32" s="5"/>
      <c r="D32" s="5"/>
      <c r="E32" s="5"/>
      <c r="F32" s="5"/>
      <c r="G32" s="21" t="s">
        <v>132</v>
      </c>
    </row>
    <row r="33" customFormat="false" ht="15" hidden="false" customHeight="false" outlineLevel="0" collapsed="false">
      <c r="A33" s="21" t="s">
        <v>133</v>
      </c>
      <c r="B33" s="9" t="n">
        <f aca="false">Marché!$E$24</f>
        <v>1256</v>
      </c>
      <c r="C33" s="5"/>
      <c r="D33" s="5"/>
      <c r="E33" s="5"/>
      <c r="F33" s="5"/>
      <c r="G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</row>
    <row r="35" customFormat="false" ht="26.85" hidden="false" customHeight="false" outlineLevel="0" collapsed="false">
      <c r="A35" s="7" t="s">
        <v>134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25</v>
      </c>
      <c r="G35" s="7" t="s">
        <v>135</v>
      </c>
    </row>
    <row r="36" customFormat="false" ht="39.55" hidden="false" customHeight="false" outlineLevel="0" collapsed="false">
      <c r="A36" s="8" t="s">
        <v>27</v>
      </c>
      <c r="B36" s="28" t="n">
        <v>12</v>
      </c>
      <c r="C36" s="28" t="n">
        <v>20</v>
      </c>
      <c r="D36" s="28" t="n">
        <v>28</v>
      </c>
      <c r="E36" s="28" t="n">
        <v>30</v>
      </c>
      <c r="F36" s="28" t="n">
        <v>30</v>
      </c>
      <c r="G36" s="17" t="s">
        <v>136</v>
      </c>
    </row>
    <row r="37" customFormat="false" ht="39.55" hidden="false" customHeight="false" outlineLevel="0" collapsed="false">
      <c r="A37" s="8" t="s">
        <v>28</v>
      </c>
      <c r="B37" s="28" t="n">
        <v>20</v>
      </c>
      <c r="C37" s="28" t="n">
        <v>35</v>
      </c>
      <c r="D37" s="28" t="n">
        <v>50</v>
      </c>
      <c r="E37" s="28" t="n">
        <v>55</v>
      </c>
      <c r="F37" s="28" t="n">
        <v>55</v>
      </c>
      <c r="G37" s="17" t="s">
        <v>137</v>
      </c>
    </row>
    <row r="38" customFormat="false" ht="26.85" hidden="false" customHeight="false" outlineLevel="0" collapsed="false">
      <c r="A38" s="8" t="s">
        <v>29</v>
      </c>
      <c r="B38" s="28" t="n">
        <v>30</v>
      </c>
      <c r="C38" s="28" t="n">
        <v>55</v>
      </c>
      <c r="D38" s="28" t="n">
        <v>80</v>
      </c>
      <c r="E38" s="28" t="n">
        <v>85</v>
      </c>
      <c r="F38" s="28" t="n">
        <v>90</v>
      </c>
      <c r="G38" s="17" t="s">
        <v>138</v>
      </c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</row>
    <row r="40" customFormat="false" ht="15" hidden="false" customHeight="false" outlineLevel="0" collapsed="false">
      <c r="A40" s="7" t="s">
        <v>139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25</v>
      </c>
      <c r="G40" s="7" t="s">
        <v>135</v>
      </c>
    </row>
    <row r="41" customFormat="false" ht="15" hidden="false" customHeight="false" outlineLevel="0" collapsed="false">
      <c r="A41" s="8" t="s">
        <v>27</v>
      </c>
      <c r="B41" s="5"/>
      <c r="C41" s="5"/>
      <c r="D41" s="5"/>
      <c r="E41" s="5"/>
      <c r="F41" s="5"/>
      <c r="G41" s="5"/>
    </row>
    <row r="42" customFormat="false" ht="15" hidden="false" customHeight="false" outlineLevel="0" collapsed="false">
      <c r="A42" s="21" t="s">
        <v>140</v>
      </c>
      <c r="B42" s="22" t="n">
        <v>0.65</v>
      </c>
      <c r="C42" s="22" t="n">
        <v>0.62</v>
      </c>
      <c r="D42" s="22" t="n">
        <v>0.58</v>
      </c>
      <c r="E42" s="22" t="n">
        <v>0.55</v>
      </c>
      <c r="F42" s="22" t="n">
        <v>0.55</v>
      </c>
      <c r="G42" s="5"/>
    </row>
    <row r="43" customFormat="false" ht="15" hidden="false" customHeight="false" outlineLevel="0" collapsed="false">
      <c r="A43" s="21" t="s">
        <v>141</v>
      </c>
      <c r="B43" s="22" t="n">
        <v>0.28</v>
      </c>
      <c r="C43" s="22" t="n">
        <v>0.3</v>
      </c>
      <c r="D43" s="22" t="n">
        <v>0.32</v>
      </c>
      <c r="E43" s="22" t="n">
        <v>0.33</v>
      </c>
      <c r="F43" s="22" t="n">
        <v>0.33</v>
      </c>
      <c r="G43" s="5"/>
    </row>
    <row r="44" customFormat="false" ht="15" hidden="false" customHeight="false" outlineLevel="0" collapsed="false">
      <c r="A44" s="21" t="s">
        <v>142</v>
      </c>
      <c r="B44" s="22" t="n">
        <v>0.07</v>
      </c>
      <c r="C44" s="22" t="n">
        <v>0.08</v>
      </c>
      <c r="D44" s="22" t="n">
        <v>0.1</v>
      </c>
      <c r="E44" s="22" t="n">
        <v>0.12</v>
      </c>
      <c r="F44" s="22" t="n">
        <v>0.12</v>
      </c>
      <c r="G44" s="5"/>
    </row>
    <row r="45" customFormat="false" ht="15" hidden="false" customHeight="false" outlineLevel="0" collapsed="false">
      <c r="A45" s="21" t="s">
        <v>143</v>
      </c>
      <c r="B45" s="23" t="n">
        <f aca="false">SUM(B42:B44)</f>
        <v>1</v>
      </c>
      <c r="C45" s="23" t="n">
        <f aca="false">SUM(C42:C44)</f>
        <v>1</v>
      </c>
      <c r="D45" s="23" t="n">
        <f aca="false">SUM(D42:D44)</f>
        <v>1</v>
      </c>
      <c r="E45" s="23" t="n">
        <f aca="false">SUM(E42:E44)</f>
        <v>1</v>
      </c>
      <c r="F45" s="23" t="n">
        <f aca="false">SUM(F42:F44)</f>
        <v>1</v>
      </c>
      <c r="G45" s="21" t="s">
        <v>144</v>
      </c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</row>
    <row r="47" customFormat="false" ht="15" hidden="false" customHeight="false" outlineLevel="0" collapsed="false">
      <c r="A47" s="8" t="s">
        <v>28</v>
      </c>
      <c r="B47" s="5"/>
      <c r="C47" s="5"/>
      <c r="D47" s="5"/>
      <c r="E47" s="5"/>
      <c r="F47" s="5"/>
      <c r="G47" s="5"/>
    </row>
    <row r="48" customFormat="false" ht="15" hidden="false" customHeight="false" outlineLevel="0" collapsed="false">
      <c r="A48" s="21" t="s">
        <v>140</v>
      </c>
      <c r="B48" s="22" t="n">
        <v>0.6</v>
      </c>
      <c r="C48" s="22" t="n">
        <v>0.55</v>
      </c>
      <c r="D48" s="22" t="n">
        <v>0.5</v>
      </c>
      <c r="E48" s="22" t="n">
        <v>0.5</v>
      </c>
      <c r="F48" s="22" t="n">
        <v>0.5</v>
      </c>
      <c r="G48" s="5"/>
    </row>
    <row r="49" customFormat="false" ht="15" hidden="false" customHeight="false" outlineLevel="0" collapsed="false">
      <c r="A49" s="21" t="s">
        <v>141</v>
      </c>
      <c r="B49" s="22" t="n">
        <v>0.3</v>
      </c>
      <c r="C49" s="22" t="n">
        <v>0.32</v>
      </c>
      <c r="D49" s="22" t="n">
        <v>0.35</v>
      </c>
      <c r="E49" s="22" t="n">
        <v>0.35</v>
      </c>
      <c r="F49" s="22" t="n">
        <v>0.35</v>
      </c>
      <c r="G49" s="5"/>
    </row>
    <row r="50" customFormat="false" ht="15" hidden="false" customHeight="false" outlineLevel="0" collapsed="false">
      <c r="A50" s="21" t="s">
        <v>142</v>
      </c>
      <c r="B50" s="22" t="n">
        <v>0.1</v>
      </c>
      <c r="C50" s="22" t="n">
        <v>0.13</v>
      </c>
      <c r="D50" s="22" t="n">
        <v>0.15</v>
      </c>
      <c r="E50" s="22" t="n">
        <v>0.15</v>
      </c>
      <c r="F50" s="22" t="n">
        <v>0.15</v>
      </c>
      <c r="G50" s="5"/>
    </row>
    <row r="51" customFormat="false" ht="15" hidden="false" customHeight="false" outlineLevel="0" collapsed="false">
      <c r="A51" s="21" t="s">
        <v>143</v>
      </c>
      <c r="B51" s="23" t="n">
        <f aca="false">SUM(B48:B50)</f>
        <v>1</v>
      </c>
      <c r="C51" s="23" t="n">
        <f aca="false">SUM(C48:C50)</f>
        <v>1</v>
      </c>
      <c r="D51" s="23" t="n">
        <f aca="false">SUM(D48:D50)</f>
        <v>1</v>
      </c>
      <c r="E51" s="23" t="n">
        <f aca="false">SUM(E48:E50)</f>
        <v>1</v>
      </c>
      <c r="F51" s="23" t="n">
        <f aca="false">SUM(F48:F50)</f>
        <v>1</v>
      </c>
      <c r="G51" s="21" t="s">
        <v>144</v>
      </c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</row>
    <row r="53" customFormat="false" ht="15" hidden="false" customHeight="false" outlineLevel="0" collapsed="false">
      <c r="A53" s="8" t="s">
        <v>29</v>
      </c>
      <c r="B53" s="5"/>
      <c r="C53" s="5"/>
      <c r="D53" s="5"/>
      <c r="E53" s="5"/>
      <c r="F53" s="5"/>
      <c r="G53" s="5"/>
    </row>
    <row r="54" customFormat="false" ht="15" hidden="false" customHeight="false" outlineLevel="0" collapsed="false">
      <c r="A54" s="21" t="s">
        <v>140</v>
      </c>
      <c r="B54" s="22" t="n">
        <v>0.55</v>
      </c>
      <c r="C54" s="22" t="n">
        <v>0.5</v>
      </c>
      <c r="D54" s="22" t="n">
        <v>0.45</v>
      </c>
      <c r="E54" s="22" t="n">
        <v>0.45</v>
      </c>
      <c r="F54" s="22" t="n">
        <v>0.45</v>
      </c>
      <c r="G54" s="5"/>
    </row>
    <row r="55" customFormat="false" ht="15" hidden="false" customHeight="false" outlineLevel="0" collapsed="false">
      <c r="A55" s="21" t="s">
        <v>141</v>
      </c>
      <c r="B55" s="22" t="n">
        <v>0.32</v>
      </c>
      <c r="C55" s="22" t="n">
        <v>0.35</v>
      </c>
      <c r="D55" s="22" t="n">
        <v>0.37</v>
      </c>
      <c r="E55" s="22" t="n">
        <v>0.37</v>
      </c>
      <c r="F55" s="22" t="n">
        <v>0.37</v>
      </c>
      <c r="G55" s="5"/>
    </row>
    <row r="56" customFormat="false" ht="15" hidden="false" customHeight="false" outlineLevel="0" collapsed="false">
      <c r="A56" s="21" t="s">
        <v>142</v>
      </c>
      <c r="B56" s="22" t="n">
        <v>0.13</v>
      </c>
      <c r="C56" s="22" t="n">
        <v>0.15</v>
      </c>
      <c r="D56" s="22" t="n">
        <v>0.18</v>
      </c>
      <c r="E56" s="22" t="n">
        <v>0.18</v>
      </c>
      <c r="F56" s="22" t="n">
        <v>0.18</v>
      </c>
      <c r="G56" s="5"/>
    </row>
    <row r="57" customFormat="false" ht="15" hidden="false" customHeight="false" outlineLevel="0" collapsed="false">
      <c r="A57" s="21" t="s">
        <v>143</v>
      </c>
      <c r="B57" s="23" t="n">
        <f aca="false">SUM(B54:B56)</f>
        <v>1</v>
      </c>
      <c r="C57" s="23" t="n">
        <f aca="false">SUM(C54:C56)</f>
        <v>1</v>
      </c>
      <c r="D57" s="23" t="n">
        <f aca="false">SUM(D54:D56)</f>
        <v>1</v>
      </c>
      <c r="E57" s="23" t="n">
        <f aca="false">SUM(E54:E56)</f>
        <v>1</v>
      </c>
      <c r="F57" s="23" t="n">
        <f aca="false">SUM(F54:F56)</f>
        <v>1</v>
      </c>
      <c r="G57" s="21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5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4" t="s">
        <v>145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146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7"/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147</v>
      </c>
    </row>
    <row r="5" customFormat="false" ht="15" hidden="false" customHeight="false" outlineLevel="0" collapsed="false">
      <c r="A5" s="29" t="s">
        <v>148</v>
      </c>
      <c r="B5" s="16"/>
      <c r="C5" s="16"/>
      <c r="D5" s="16"/>
      <c r="E5" s="16"/>
      <c r="F5" s="16"/>
      <c r="G5" s="16"/>
    </row>
    <row r="6" customFormat="false" ht="15" hidden="false" customHeight="false" outlineLevel="0" collapsed="false">
      <c r="A6" s="21" t="s">
        <v>149</v>
      </c>
      <c r="B6" s="9" t="n">
        <f aca="false">Hypothèses!B36</f>
        <v>12</v>
      </c>
      <c r="C6" s="9" t="n">
        <f aca="false">Hypothèses!C36</f>
        <v>20</v>
      </c>
      <c r="D6" s="9" t="n">
        <f aca="false">Hypothèses!D36</f>
        <v>28</v>
      </c>
      <c r="E6" s="9" t="n">
        <f aca="false">Hypothèses!E36</f>
        <v>30</v>
      </c>
      <c r="F6" s="9" t="n">
        <f aca="false">Hypothèses!F36</f>
        <v>30</v>
      </c>
      <c r="G6" s="20" t="n">
        <f aca="false">SUM(B6:F6)</f>
        <v>120</v>
      </c>
    </row>
    <row r="7" customFormat="false" ht="15" hidden="false" customHeight="false" outlineLevel="0" collapsed="false">
      <c r="A7" s="21" t="s">
        <v>150</v>
      </c>
      <c r="B7" s="20" t="n">
        <f aca="false">0</f>
        <v>0</v>
      </c>
      <c r="C7" s="20" t="n">
        <f aca="false">ROUND(B8*Hypothèses!$B$32,0)</f>
        <v>1</v>
      </c>
      <c r="D7" s="20" t="n">
        <f aca="false">ROUND(C8*Hypothèses!$B$32,0)</f>
        <v>2</v>
      </c>
      <c r="E7" s="20" t="n">
        <f aca="false">ROUND(D8*Hypothèses!$B$32,0)</f>
        <v>3</v>
      </c>
      <c r="F7" s="20" t="n">
        <f aca="false">ROUND(E8*Hypothèses!$B$32,0)</f>
        <v>4</v>
      </c>
      <c r="G7" s="20" t="n">
        <f aca="false">SUM(B7:F7)</f>
        <v>10</v>
      </c>
    </row>
    <row r="8" customFormat="false" ht="15" hidden="false" customHeight="false" outlineLevel="0" collapsed="false">
      <c r="A8" s="8" t="s">
        <v>20</v>
      </c>
      <c r="B8" s="10" t="n">
        <f aca="false">B6-B7</f>
        <v>12</v>
      </c>
      <c r="C8" s="10" t="n">
        <f aca="false">B8+C6-C7</f>
        <v>31</v>
      </c>
      <c r="D8" s="10" t="n">
        <f aca="false">C8+D6-D7</f>
        <v>57</v>
      </c>
      <c r="E8" s="10" t="n">
        <f aca="false">D8+E6-E7</f>
        <v>84</v>
      </c>
      <c r="F8" s="10" t="n">
        <f aca="false">E8+F6-F7</f>
        <v>110</v>
      </c>
      <c r="G8" s="10" t="n">
        <f aca="false">F8</f>
        <v>110</v>
      </c>
    </row>
    <row r="9" customFormat="false" ht="15" hidden="false" customHeight="false" outlineLevel="0" collapsed="false">
      <c r="A9" s="21" t="s">
        <v>30</v>
      </c>
      <c r="B9" s="23" t="n">
        <f aca="false">B8/Hypothèses!$B$33</f>
        <v>0.00955414012738854</v>
      </c>
      <c r="C9" s="23" t="n">
        <f aca="false">C8/Hypothèses!$B$33</f>
        <v>0.0246815286624204</v>
      </c>
      <c r="D9" s="23" t="n">
        <f aca="false">D8/Hypothèses!$B$33</f>
        <v>0.0453821656050955</v>
      </c>
      <c r="E9" s="23" t="n">
        <f aca="false">E8/Hypothèses!$B$33</f>
        <v>0.0668789808917197</v>
      </c>
      <c r="F9" s="23" t="n">
        <f aca="false">F8/Hypothèses!$B$33</f>
        <v>0.0875796178343949</v>
      </c>
      <c r="G9" s="23" t="n">
        <f aca="false">F9</f>
        <v>0.0875796178343949</v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29" t="s">
        <v>151</v>
      </c>
      <c r="B11" s="16"/>
      <c r="C11" s="16"/>
      <c r="D11" s="16"/>
      <c r="E11" s="16"/>
      <c r="F11" s="16"/>
      <c r="G11" s="16"/>
    </row>
    <row r="12" customFormat="false" ht="15" hidden="false" customHeight="false" outlineLevel="0" collapsed="false">
      <c r="A12" s="21" t="s">
        <v>152</v>
      </c>
      <c r="B12" s="20" t="n">
        <f aca="false">ROUND(B6*Hypothèses!B42,0)</f>
        <v>8</v>
      </c>
      <c r="C12" s="20" t="n">
        <f aca="false">ROUND(B12*(1-Hypothèses!$B$32)+C6*Hypothèses!C42,0)</f>
        <v>20</v>
      </c>
      <c r="D12" s="20" t="n">
        <f aca="false">ROUND(C12*(1-Hypothèses!$B$32)+D6*Hypothèses!D42,0)</f>
        <v>35</v>
      </c>
      <c r="E12" s="20" t="n">
        <f aca="false">ROUND(D12*(1-Hypothèses!$B$32)+E6*Hypothèses!E42,0)</f>
        <v>50</v>
      </c>
      <c r="F12" s="20" t="n">
        <f aca="false">ROUND(E12*(1-Hypothèses!$B$32)+F6*Hypothèses!F42,0)</f>
        <v>64</v>
      </c>
      <c r="G12" s="20" t="n">
        <f aca="false">F12</f>
        <v>64</v>
      </c>
    </row>
    <row r="13" customFormat="false" ht="15" hidden="false" customHeight="false" outlineLevel="0" collapsed="false">
      <c r="A13" s="21" t="s">
        <v>153</v>
      </c>
      <c r="B13" s="20" t="n">
        <f aca="false">ROUND(B6*Hypothèses!B43,0)</f>
        <v>3</v>
      </c>
      <c r="C13" s="20" t="n">
        <f aca="false">ROUND(B13*(1-Hypothèses!$B$32)+C6*Hypothèses!C43,0)</f>
        <v>9</v>
      </c>
      <c r="D13" s="20" t="n">
        <f aca="false">ROUND(C13*(1-Hypothèses!$B$32)+D6*Hypothèses!D43,0)</f>
        <v>18</v>
      </c>
      <c r="E13" s="20" t="n">
        <f aca="false">ROUND(D13*(1-Hypothèses!$B$32)+E6*Hypothèses!E43,0)</f>
        <v>27</v>
      </c>
      <c r="F13" s="20" t="n">
        <f aca="false">ROUND(E13*(1-Hypothèses!$B$32)+F6*Hypothèses!F43,0)</f>
        <v>36</v>
      </c>
      <c r="G13" s="20" t="n">
        <f aca="false">F13</f>
        <v>36</v>
      </c>
    </row>
    <row r="14" customFormat="false" ht="15" hidden="false" customHeight="false" outlineLevel="0" collapsed="false">
      <c r="A14" s="21" t="s">
        <v>154</v>
      </c>
      <c r="B14" s="20" t="n">
        <f aca="false">ROUND(B6*Hypothèses!B44,0)</f>
        <v>1</v>
      </c>
      <c r="C14" s="20" t="n">
        <f aca="false">ROUND(B14*(1-Hypothèses!$B$32)+C6*Hypothèses!C44,0)</f>
        <v>3</v>
      </c>
      <c r="D14" s="20" t="n">
        <f aca="false">ROUND(C14*(1-Hypothèses!$B$32)+D6*Hypothèses!D44,0)</f>
        <v>6</v>
      </c>
      <c r="E14" s="20" t="n">
        <f aca="false">ROUND(D14*(1-Hypothèses!$B$32)+E6*Hypothèses!E44,0)</f>
        <v>9</v>
      </c>
      <c r="F14" s="20" t="n">
        <f aca="false">ROUND(E14*(1-Hypothèses!$B$32)+F6*Hypothèses!F44,0)</f>
        <v>12</v>
      </c>
      <c r="G14" s="20" t="n">
        <f aca="false">F14</f>
        <v>12</v>
      </c>
    </row>
    <row r="15" customFormat="false" ht="15" hidden="false" customHeight="false" outlineLevel="0" collapsed="false">
      <c r="A15" s="21" t="s">
        <v>155</v>
      </c>
      <c r="B15" s="20" t="n">
        <f aca="false">SUM(B12:B14)</f>
        <v>12</v>
      </c>
      <c r="C15" s="20" t="n">
        <f aca="false">SUM(C12:C14)</f>
        <v>32</v>
      </c>
      <c r="D15" s="20" t="n">
        <f aca="false">SUM(D12:D14)</f>
        <v>59</v>
      </c>
      <c r="E15" s="20" t="n">
        <f aca="false">SUM(E12:E14)</f>
        <v>86</v>
      </c>
      <c r="F15" s="20" t="n">
        <f aca="false">SUM(F12:F14)</f>
        <v>112</v>
      </c>
      <c r="G15" s="20" t="n">
        <f aca="false">F15</f>
        <v>112</v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29" t="s">
        <v>156</v>
      </c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21" t="s">
        <v>157</v>
      </c>
      <c r="B18" s="26" t="n">
        <f aca="false">B12*Hypothèses!$B$5</f>
        <v>40000</v>
      </c>
      <c r="C18" s="26" t="n">
        <f aca="false">C12*Hypothèses!$B$5</f>
        <v>100000</v>
      </c>
      <c r="D18" s="26" t="n">
        <f aca="false">D12*Hypothèses!$B$5</f>
        <v>175000</v>
      </c>
      <c r="E18" s="26" t="n">
        <f aca="false">E12*Hypothèses!$B$5</f>
        <v>250000</v>
      </c>
      <c r="F18" s="26" t="n">
        <f aca="false">F12*Hypothèses!$B$5</f>
        <v>320000</v>
      </c>
      <c r="G18" s="26" t="n">
        <f aca="false">SUM(B18:F18)</f>
        <v>885000</v>
      </c>
    </row>
    <row r="19" customFormat="false" ht="15" hidden="false" customHeight="false" outlineLevel="0" collapsed="false">
      <c r="A19" s="21" t="s">
        <v>158</v>
      </c>
      <c r="B19" s="26" t="n">
        <f aca="false">B13*Hypothèses!$B$6</f>
        <v>27000</v>
      </c>
      <c r="C19" s="26" t="n">
        <f aca="false">C13*Hypothèses!$B$6</f>
        <v>81000</v>
      </c>
      <c r="D19" s="26" t="n">
        <f aca="false">D13*Hypothèses!$B$6</f>
        <v>162000</v>
      </c>
      <c r="E19" s="26" t="n">
        <f aca="false">E13*Hypothèses!$B$6</f>
        <v>243000</v>
      </c>
      <c r="F19" s="26" t="n">
        <f aca="false">F13*Hypothèses!$B$6</f>
        <v>324000</v>
      </c>
      <c r="G19" s="26" t="n">
        <f aca="false">SUM(B19:F19)</f>
        <v>837000</v>
      </c>
    </row>
    <row r="20" customFormat="false" ht="15" hidden="false" customHeight="false" outlineLevel="0" collapsed="false">
      <c r="A20" s="21" t="s">
        <v>159</v>
      </c>
      <c r="B20" s="26" t="n">
        <f aca="false">B14*Hypothèses!$B$7</f>
        <v>16000</v>
      </c>
      <c r="C20" s="26" t="n">
        <f aca="false">C14*Hypothèses!$B$7</f>
        <v>48000</v>
      </c>
      <c r="D20" s="26" t="n">
        <f aca="false">D14*Hypothèses!$B$7</f>
        <v>96000</v>
      </c>
      <c r="E20" s="26" t="n">
        <f aca="false">E14*Hypothèses!$B$7</f>
        <v>144000</v>
      </c>
      <c r="F20" s="26" t="n">
        <f aca="false">F14*Hypothèses!$B$7</f>
        <v>192000</v>
      </c>
      <c r="G20" s="26" t="n">
        <f aca="false">SUM(B20:F20)</f>
        <v>496000</v>
      </c>
    </row>
    <row r="21" customFormat="false" ht="15" hidden="false" customHeight="false" outlineLevel="0" collapsed="false">
      <c r="A21" s="30" t="s">
        <v>160</v>
      </c>
      <c r="B21" s="31" t="n">
        <f aca="false">SUM(B18:B20)</f>
        <v>83000</v>
      </c>
      <c r="C21" s="31" t="n">
        <f aca="false">SUM(C18:C20)</f>
        <v>229000</v>
      </c>
      <c r="D21" s="31" t="n">
        <f aca="false">SUM(D18:D20)</f>
        <v>433000</v>
      </c>
      <c r="E21" s="31" t="n">
        <f aca="false">SUM(E18:E20)</f>
        <v>637000</v>
      </c>
      <c r="F21" s="31" t="n">
        <f aca="false">SUM(F18:F20)</f>
        <v>836000</v>
      </c>
      <c r="G21" s="31" t="n">
        <f aca="false">SUM(B21:F21)</f>
        <v>2218000</v>
      </c>
    </row>
    <row r="22" customFormat="false" ht="15" hidden="false" customHeight="false" outlineLevel="0" collapsed="false">
      <c r="A22" s="21" t="s">
        <v>161</v>
      </c>
      <c r="B22" s="26" t="n">
        <f aca="false">IF(B8=0,0,B21/B8)</f>
        <v>6916.66666666667</v>
      </c>
      <c r="C22" s="26" t="n">
        <f aca="false">IF(C8=0,0,C21/C8)</f>
        <v>7387.09677419355</v>
      </c>
      <c r="D22" s="26" t="n">
        <f aca="false">IF(D8=0,0,D21/D8)</f>
        <v>7596.49122807018</v>
      </c>
      <c r="E22" s="26" t="n">
        <f aca="false">IF(E8=0,0,E21/E8)</f>
        <v>7583.33333333333</v>
      </c>
      <c r="F22" s="26" t="n">
        <f aca="false">IF(F8=0,0,F21/F8)</f>
        <v>7600</v>
      </c>
      <c r="G22" s="26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29" t="s">
        <v>162</v>
      </c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21" t="s">
        <v>163</v>
      </c>
      <c r="B25" s="26" t="n">
        <f aca="false">INDEX(Hypothèses!$D$10:$D$14,COUNTIF(Hypothèses!$B$10:$B$14,"&lt;"&amp;B8)+1)</f>
        <v>4800</v>
      </c>
      <c r="C25" s="26" t="n">
        <f aca="false">INDEX(Hypothèses!$D$10:$D$14,COUNTIF(Hypothèses!$B$10:$B$14,"&lt;"&amp;C8)+1)</f>
        <v>16800</v>
      </c>
      <c r="D25" s="26" t="n">
        <f aca="false">INDEX(Hypothèses!$D$10:$D$14,COUNTIF(Hypothèses!$B$10:$B$14,"&lt;"&amp;D8)+1)</f>
        <v>16800</v>
      </c>
      <c r="E25" s="26" t="n">
        <f aca="false">INDEX(Hypothèses!$D$10:$D$14,COUNTIF(Hypothèses!$B$10:$B$14,"&lt;"&amp;E8)+1)</f>
        <v>28800</v>
      </c>
      <c r="F25" s="26" t="n">
        <f aca="false">INDEX(Hypothèses!$D$10:$D$14,COUNTIF(Hypothèses!$B$10:$B$14,"&lt;"&amp;F8)+1)</f>
        <v>28800</v>
      </c>
      <c r="G25" s="26" t="n">
        <f aca="false">SUM(B25:F25)</f>
        <v>96000</v>
      </c>
    </row>
    <row r="26" customFormat="false" ht="15" hidden="false" customHeight="false" outlineLevel="0" collapsed="false">
      <c r="A26" s="21" t="s">
        <v>164</v>
      </c>
      <c r="B26" s="26" t="n">
        <f aca="false">IF(1&gt;=Hypothèses!$B$21,Hypothèses!$B$19*(1+Hypothèses!$B$20)^(1-Hypothèses!$B$21),0)</f>
        <v>76450</v>
      </c>
      <c r="C26" s="26" t="n">
        <f aca="false">IF(2&gt;=Hypothèses!$B$21,Hypothèses!$B$19*(1+Hypothèses!$B$20)^(2-Hypothèses!$B$21),0)</f>
        <v>77979</v>
      </c>
      <c r="D26" s="26" t="n">
        <f aca="false">IF(3&gt;=Hypothèses!$B$21,Hypothèses!$B$19*(1+Hypothèses!$B$20)^(3-Hypothèses!$B$21),0)</f>
        <v>79538.58</v>
      </c>
      <c r="E26" s="26" t="n">
        <f aca="false">IF(4&gt;=Hypothèses!$B$21,Hypothèses!$B$19*(1+Hypothèses!$B$20)^(4-Hypothèses!$B$21),0)</f>
        <v>81129.3516</v>
      </c>
      <c r="F26" s="26" t="n">
        <f aca="false">IF(5&gt;=Hypothèses!$B$21,Hypothèses!$B$19*(1+Hypothèses!$B$20)^(5-Hypothèses!$B$21),0)</f>
        <v>82751.938632</v>
      </c>
      <c r="G26" s="26" t="n">
        <f aca="false">SUM(B26:F26)</f>
        <v>397848.870232</v>
      </c>
    </row>
    <row r="27" customFormat="false" ht="15" hidden="false" customHeight="false" outlineLevel="0" collapsed="false">
      <c r="A27" s="21" t="s">
        <v>165</v>
      </c>
      <c r="B27" s="26" t="n">
        <f aca="false">SUM(Hypothèses!B24:B27)</f>
        <v>16400</v>
      </c>
      <c r="C27" s="26" t="n">
        <f aca="false">SUM(Hypothèses!C24:C27)</f>
        <v>19400</v>
      </c>
      <c r="D27" s="26" t="n">
        <f aca="false">SUM(Hypothèses!D24:D27)</f>
        <v>23500</v>
      </c>
      <c r="E27" s="26" t="n">
        <f aca="false">SUM(Hypothèses!E24:E27)</f>
        <v>27000</v>
      </c>
      <c r="F27" s="26" t="n">
        <f aca="false">SUM(Hypothèses!F24:F27)</f>
        <v>29100</v>
      </c>
      <c r="G27" s="26" t="n">
        <f aca="false">SUM(B27:F27)</f>
        <v>115400</v>
      </c>
    </row>
    <row r="28" customFormat="false" ht="15" hidden="false" customHeight="false" outlineLevel="0" collapsed="false">
      <c r="A28" s="21" t="s">
        <v>166</v>
      </c>
      <c r="B28" s="26" t="n">
        <f aca="false">MIN(Hypothèses!$B$31,Hypothèses!$B$30*(B6*(Hypothèses!B42*Hypothèses!$B$5+Hypothèses!B43*Hypothèses!$B$6+Hypothèses!B44*Hypothèses!$B$7)))</f>
        <v>24804</v>
      </c>
      <c r="C28" s="26" t="n">
        <f aca="false">MIN(Hypothèses!$B$31,Hypothèses!$B$30*(C6*(Hypothèses!C42*Hypothèses!$B$5+Hypothèses!C43*Hypothèses!$B$6+Hypothèses!C44*Hypothèses!$B$7)))</f>
        <v>42480</v>
      </c>
      <c r="D28" s="26" t="n">
        <f aca="false">MIN(Hypothèses!$B$31,Hypothèses!$B$30*(D6*(Hypothèses!D42*Hypothèses!$B$5+Hypothèses!D43*Hypothèses!$B$6+Hypothèses!D44*Hypothèses!$B$7)))</f>
        <v>61992</v>
      </c>
      <c r="E28" s="26" t="n">
        <f aca="false">MIN(Hypothèses!$B$31,Hypothèses!$B$30*(E6*(Hypothèses!E42*Hypothèses!$B$5+Hypothèses!E43*Hypothèses!$B$6+Hypothèses!E44*Hypothèses!$B$7)))</f>
        <v>68760</v>
      </c>
      <c r="F28" s="26" t="n">
        <f aca="false">MIN(Hypothèses!$B$31,Hypothèses!$B$30*(F6*(Hypothèses!F42*Hypothèses!$B$5+Hypothèses!F43*Hypothèses!$B$6+Hypothèses!F44*Hypothèses!$B$7)))</f>
        <v>68760</v>
      </c>
      <c r="G28" s="26" t="n">
        <f aca="false">SUM(B28:F28)</f>
        <v>266796</v>
      </c>
    </row>
    <row r="29" customFormat="false" ht="15" hidden="false" customHeight="false" outlineLevel="0" collapsed="false">
      <c r="A29" s="8" t="s">
        <v>36</v>
      </c>
      <c r="B29" s="14" t="n">
        <f aca="false">SUM(B25:B28)</f>
        <v>122454</v>
      </c>
      <c r="C29" s="14" t="n">
        <f aca="false">SUM(C25:C28)</f>
        <v>156659</v>
      </c>
      <c r="D29" s="14" t="n">
        <f aca="false">SUM(D25:D28)</f>
        <v>181830.58</v>
      </c>
      <c r="E29" s="14" t="n">
        <f aca="false">SUM(E25:E28)</f>
        <v>205689.3516</v>
      </c>
      <c r="F29" s="14" t="n">
        <f aca="false">SUM(F25:F28)</f>
        <v>209411.938632</v>
      </c>
      <c r="G29" s="14" t="n">
        <f aca="false">SUM(B29:F29)</f>
        <v>876044.870232</v>
      </c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29" t="s">
        <v>167</v>
      </c>
      <c r="B31" s="16"/>
      <c r="C31" s="16"/>
      <c r="D31" s="16"/>
      <c r="E31" s="16"/>
      <c r="F31" s="16"/>
      <c r="G31" s="16"/>
    </row>
    <row r="32" customFormat="false" ht="15" hidden="false" customHeight="false" outlineLevel="0" collapsed="false">
      <c r="A32" s="30" t="s">
        <v>168</v>
      </c>
      <c r="B32" s="31" t="n">
        <f aca="false">B21-B29</f>
        <v>-39454</v>
      </c>
      <c r="C32" s="31" t="n">
        <f aca="false">C21-C29</f>
        <v>72341</v>
      </c>
      <c r="D32" s="31" t="n">
        <f aca="false">D21-D29</f>
        <v>251169.42</v>
      </c>
      <c r="E32" s="31" t="n">
        <f aca="false">E21-E29</f>
        <v>431310.6484</v>
      </c>
      <c r="F32" s="31" t="n">
        <f aca="false">F21-F29</f>
        <v>626588.061368</v>
      </c>
      <c r="G32" s="31" t="n">
        <f aca="false">SUM(B32:F32)</f>
        <v>1341955.129768</v>
      </c>
    </row>
    <row r="33" customFormat="false" ht="15" hidden="false" customHeight="false" outlineLevel="0" collapsed="false">
      <c r="A33" s="8" t="s">
        <v>38</v>
      </c>
      <c r="B33" s="14" t="n">
        <f aca="false">B32</f>
        <v>-39454</v>
      </c>
      <c r="C33" s="14" t="n">
        <f aca="false">B33+C32</f>
        <v>32887</v>
      </c>
      <c r="D33" s="14" t="n">
        <f aca="false">C33+D32</f>
        <v>284056.42</v>
      </c>
      <c r="E33" s="14" t="n">
        <f aca="false">D33+E32</f>
        <v>715367.0684</v>
      </c>
      <c r="F33" s="14" t="n">
        <f aca="false">E33+F32</f>
        <v>1341955.129768</v>
      </c>
      <c r="G33" s="14" t="n">
        <f aca="false">F33</f>
        <v>1341955.129768</v>
      </c>
    </row>
    <row r="34" customFormat="false" ht="15" hidden="false" customHeight="false" outlineLevel="0" collapsed="false">
      <c r="A34" s="21" t="s">
        <v>169</v>
      </c>
      <c r="B34" s="23" t="n">
        <f aca="false">IF(B21=0,0,B32/B21)</f>
        <v>-0.475349397590361</v>
      </c>
      <c r="C34" s="23" t="n">
        <f aca="false">IF(C21=0,0,C32/C21)</f>
        <v>0.315899563318777</v>
      </c>
      <c r="D34" s="23" t="n">
        <f aca="false">IF(D21=0,0,D32/D21)</f>
        <v>0.580067944572748</v>
      </c>
      <c r="E34" s="23" t="n">
        <f aca="false">IF(E21=0,0,E32/E21)</f>
        <v>0.677096779277865</v>
      </c>
      <c r="F34" s="23" t="n">
        <f aca="false">IF(F21=0,0,F32/F21)</f>
        <v>0.749507250440191</v>
      </c>
      <c r="G34" s="23"/>
    </row>
    <row r="35" customFormat="false" ht="15" hidden="false" customHeight="false" outlineLevel="0" collapsed="false">
      <c r="A35" s="21" t="s">
        <v>170</v>
      </c>
      <c r="B35" s="23" t="n">
        <f aca="false">IF(B21=0,0,B25/B21)</f>
        <v>0.0578313253012048</v>
      </c>
      <c r="C35" s="23" t="n">
        <f aca="false">IF(C21=0,0,C25/C21)</f>
        <v>0.0733624454148472</v>
      </c>
      <c r="D35" s="23" t="n">
        <f aca="false">IF(D21=0,0,D25/D21)</f>
        <v>0.0387990762124711</v>
      </c>
      <c r="E35" s="23" t="n">
        <f aca="false">IF(E21=0,0,E25/E21)</f>
        <v>0.0452119309262166</v>
      </c>
      <c r="F35" s="23" t="n">
        <f aca="false">IF(F21=0,0,F25/F21)</f>
        <v>0.0344497607655502</v>
      </c>
      <c r="G35" s="23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30" hidden="false" customHeight="true" outlineLevel="0" collapsed="false">
      <c r="A37" s="17" t="s">
        <v>171</v>
      </c>
      <c r="B37" s="17"/>
      <c r="C37" s="17"/>
      <c r="D37" s="17"/>
      <c r="E37" s="17"/>
      <c r="F37" s="17"/>
      <c r="G37" s="17"/>
    </row>
  </sheetData>
  <mergeCells count="1"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5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4" t="s">
        <v>172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146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7"/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147</v>
      </c>
    </row>
    <row r="5" customFormat="false" ht="15" hidden="false" customHeight="false" outlineLevel="0" collapsed="false">
      <c r="A5" s="29" t="s">
        <v>148</v>
      </c>
      <c r="B5" s="16"/>
      <c r="C5" s="16"/>
      <c r="D5" s="16"/>
      <c r="E5" s="16"/>
      <c r="F5" s="16"/>
      <c r="G5" s="16"/>
    </row>
    <row r="6" customFormat="false" ht="15" hidden="false" customHeight="false" outlineLevel="0" collapsed="false">
      <c r="A6" s="21" t="s">
        <v>149</v>
      </c>
      <c r="B6" s="9" t="n">
        <f aca="false">Hypothèses!B37</f>
        <v>20</v>
      </c>
      <c r="C6" s="9" t="n">
        <f aca="false">Hypothèses!C37</f>
        <v>35</v>
      </c>
      <c r="D6" s="9" t="n">
        <f aca="false">Hypothèses!D37</f>
        <v>50</v>
      </c>
      <c r="E6" s="9" t="n">
        <f aca="false">Hypothèses!E37</f>
        <v>55</v>
      </c>
      <c r="F6" s="9" t="n">
        <f aca="false">Hypothèses!F37</f>
        <v>55</v>
      </c>
      <c r="G6" s="20" t="n">
        <f aca="false">SUM(B6:F6)</f>
        <v>215</v>
      </c>
    </row>
    <row r="7" customFormat="false" ht="15" hidden="false" customHeight="false" outlineLevel="0" collapsed="false">
      <c r="A7" s="21" t="s">
        <v>150</v>
      </c>
      <c r="B7" s="20" t="n">
        <f aca="false">0</f>
        <v>0</v>
      </c>
      <c r="C7" s="20" t="n">
        <f aca="false">ROUND(B8*Hypothèses!$B$32,0)</f>
        <v>1</v>
      </c>
      <c r="D7" s="20" t="n">
        <f aca="false">ROUND(C8*Hypothèses!$B$32,0)</f>
        <v>3</v>
      </c>
      <c r="E7" s="20" t="n">
        <f aca="false">ROUND(D8*Hypothèses!$B$32,0)</f>
        <v>5</v>
      </c>
      <c r="F7" s="20" t="n">
        <f aca="false">ROUND(E8*Hypothèses!$B$32,0)</f>
        <v>8</v>
      </c>
      <c r="G7" s="20" t="n">
        <f aca="false">SUM(B7:F7)</f>
        <v>17</v>
      </c>
    </row>
    <row r="8" customFormat="false" ht="15" hidden="false" customHeight="false" outlineLevel="0" collapsed="false">
      <c r="A8" s="8" t="s">
        <v>20</v>
      </c>
      <c r="B8" s="10" t="n">
        <f aca="false">B6-B7</f>
        <v>20</v>
      </c>
      <c r="C8" s="10" t="n">
        <f aca="false">B8+C6-C7</f>
        <v>54</v>
      </c>
      <c r="D8" s="10" t="n">
        <f aca="false">C8+D6-D7</f>
        <v>101</v>
      </c>
      <c r="E8" s="10" t="n">
        <f aca="false">D8+E6-E7</f>
        <v>151</v>
      </c>
      <c r="F8" s="10" t="n">
        <f aca="false">E8+F6-F7</f>
        <v>198</v>
      </c>
      <c r="G8" s="10" t="n">
        <f aca="false">F8</f>
        <v>198</v>
      </c>
    </row>
    <row r="9" customFormat="false" ht="15" hidden="false" customHeight="false" outlineLevel="0" collapsed="false">
      <c r="A9" s="21" t="s">
        <v>30</v>
      </c>
      <c r="B9" s="23" t="n">
        <f aca="false">B8/Hypothèses!$B$33</f>
        <v>0.0159235668789809</v>
      </c>
      <c r="C9" s="23" t="n">
        <f aca="false">C8/Hypothèses!$B$33</f>
        <v>0.0429936305732484</v>
      </c>
      <c r="D9" s="23" t="n">
        <f aca="false">D8/Hypothèses!$B$33</f>
        <v>0.0804140127388535</v>
      </c>
      <c r="E9" s="23" t="n">
        <f aca="false">E8/Hypothèses!$B$33</f>
        <v>0.120222929936306</v>
      </c>
      <c r="F9" s="23" t="n">
        <f aca="false">F8/Hypothèses!$B$33</f>
        <v>0.157643312101911</v>
      </c>
      <c r="G9" s="23" t="n">
        <f aca="false">F9</f>
        <v>0.157643312101911</v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29" t="s">
        <v>151</v>
      </c>
      <c r="B11" s="16"/>
      <c r="C11" s="16"/>
      <c r="D11" s="16"/>
      <c r="E11" s="16"/>
      <c r="F11" s="16"/>
      <c r="G11" s="16"/>
    </row>
    <row r="12" customFormat="false" ht="15" hidden="false" customHeight="false" outlineLevel="0" collapsed="false">
      <c r="A12" s="21" t="s">
        <v>152</v>
      </c>
      <c r="B12" s="20" t="n">
        <f aca="false">ROUND(B6*Hypothèses!B48,0)</f>
        <v>12</v>
      </c>
      <c r="C12" s="20" t="n">
        <f aca="false">ROUND(B12*(1-Hypothèses!$B$32)+C6*Hypothèses!C48,0)</f>
        <v>31</v>
      </c>
      <c r="D12" s="20" t="n">
        <f aca="false">ROUND(C12*(1-Hypothèses!$B$32)+D6*Hypothèses!D48,0)</f>
        <v>54</v>
      </c>
      <c r="E12" s="20" t="n">
        <f aca="false">ROUND(D12*(1-Hypothèses!$B$32)+E6*Hypothèses!E48,0)</f>
        <v>79</v>
      </c>
      <c r="F12" s="20" t="n">
        <f aca="false">ROUND(E12*(1-Hypothèses!$B$32)+F6*Hypothèses!F48,0)</f>
        <v>103</v>
      </c>
      <c r="G12" s="20" t="n">
        <f aca="false">F12</f>
        <v>103</v>
      </c>
    </row>
    <row r="13" customFormat="false" ht="15" hidden="false" customHeight="false" outlineLevel="0" collapsed="false">
      <c r="A13" s="21" t="s">
        <v>153</v>
      </c>
      <c r="B13" s="20" t="n">
        <f aca="false">ROUND(B6*Hypothèses!B49,0)</f>
        <v>6</v>
      </c>
      <c r="C13" s="20" t="n">
        <f aca="false">ROUND(B13*(1-Hypothèses!$B$32)+C6*Hypothèses!C49,0)</f>
        <v>17</v>
      </c>
      <c r="D13" s="20" t="n">
        <f aca="false">ROUND(C13*(1-Hypothèses!$B$32)+D6*Hypothèses!D49,0)</f>
        <v>34</v>
      </c>
      <c r="E13" s="20" t="n">
        <f aca="false">ROUND(D13*(1-Hypothèses!$B$32)+E6*Hypothèses!E49,0)</f>
        <v>52</v>
      </c>
      <c r="F13" s="20" t="n">
        <f aca="false">ROUND(E13*(1-Hypothèses!$B$32)+F6*Hypothèses!F49,0)</f>
        <v>69</v>
      </c>
      <c r="G13" s="20" t="n">
        <f aca="false">F13</f>
        <v>69</v>
      </c>
    </row>
    <row r="14" customFormat="false" ht="15" hidden="false" customHeight="false" outlineLevel="0" collapsed="false">
      <c r="A14" s="21" t="s">
        <v>154</v>
      </c>
      <c r="B14" s="20" t="n">
        <f aca="false">ROUND(B6*Hypothèses!B50,0)</f>
        <v>2</v>
      </c>
      <c r="C14" s="20" t="n">
        <f aca="false">ROUND(B14*(1-Hypothèses!$B$32)+C6*Hypothèses!C50,0)</f>
        <v>6</v>
      </c>
      <c r="D14" s="20" t="n">
        <f aca="false">ROUND(C14*(1-Hypothèses!$B$32)+D6*Hypothèses!D50,0)</f>
        <v>13</v>
      </c>
      <c r="E14" s="20" t="n">
        <f aca="false">ROUND(D14*(1-Hypothèses!$B$32)+E6*Hypothèses!E50,0)</f>
        <v>21</v>
      </c>
      <c r="F14" s="20" t="n">
        <f aca="false">ROUND(E14*(1-Hypothèses!$B$32)+F6*Hypothèses!F50,0)</f>
        <v>28</v>
      </c>
      <c r="G14" s="20" t="n">
        <f aca="false">F14</f>
        <v>28</v>
      </c>
    </row>
    <row r="15" customFormat="false" ht="15" hidden="false" customHeight="false" outlineLevel="0" collapsed="false">
      <c r="A15" s="21" t="s">
        <v>155</v>
      </c>
      <c r="B15" s="20" t="n">
        <f aca="false">SUM(B12:B14)</f>
        <v>20</v>
      </c>
      <c r="C15" s="20" t="n">
        <f aca="false">SUM(C12:C14)</f>
        <v>54</v>
      </c>
      <c r="D15" s="20" t="n">
        <f aca="false">SUM(D12:D14)</f>
        <v>101</v>
      </c>
      <c r="E15" s="20" t="n">
        <f aca="false">SUM(E12:E14)</f>
        <v>152</v>
      </c>
      <c r="F15" s="20" t="n">
        <f aca="false">SUM(F12:F14)</f>
        <v>200</v>
      </c>
      <c r="G15" s="20" t="n">
        <f aca="false">F15</f>
        <v>200</v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29" t="s">
        <v>156</v>
      </c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21" t="s">
        <v>157</v>
      </c>
      <c r="B18" s="26" t="n">
        <f aca="false">B12*Hypothèses!$B$5</f>
        <v>60000</v>
      </c>
      <c r="C18" s="26" t="n">
        <f aca="false">C12*Hypothèses!$B$5</f>
        <v>155000</v>
      </c>
      <c r="D18" s="26" t="n">
        <f aca="false">D12*Hypothèses!$B$5</f>
        <v>270000</v>
      </c>
      <c r="E18" s="26" t="n">
        <f aca="false">E12*Hypothèses!$B$5</f>
        <v>395000</v>
      </c>
      <c r="F18" s="26" t="n">
        <f aca="false">F12*Hypothèses!$B$5</f>
        <v>515000</v>
      </c>
      <c r="G18" s="26" t="n">
        <f aca="false">SUM(B18:F18)</f>
        <v>1395000</v>
      </c>
    </row>
    <row r="19" customFormat="false" ht="15" hidden="false" customHeight="false" outlineLevel="0" collapsed="false">
      <c r="A19" s="21" t="s">
        <v>158</v>
      </c>
      <c r="B19" s="26" t="n">
        <f aca="false">B13*Hypothèses!$B$6</f>
        <v>54000</v>
      </c>
      <c r="C19" s="26" t="n">
        <f aca="false">C13*Hypothèses!$B$6</f>
        <v>153000</v>
      </c>
      <c r="D19" s="26" t="n">
        <f aca="false">D13*Hypothèses!$B$6</f>
        <v>306000</v>
      </c>
      <c r="E19" s="26" t="n">
        <f aca="false">E13*Hypothèses!$B$6</f>
        <v>468000</v>
      </c>
      <c r="F19" s="26" t="n">
        <f aca="false">F13*Hypothèses!$B$6</f>
        <v>621000</v>
      </c>
      <c r="G19" s="26" t="n">
        <f aca="false">SUM(B19:F19)</f>
        <v>1602000</v>
      </c>
    </row>
    <row r="20" customFormat="false" ht="15" hidden="false" customHeight="false" outlineLevel="0" collapsed="false">
      <c r="A20" s="21" t="s">
        <v>159</v>
      </c>
      <c r="B20" s="26" t="n">
        <f aca="false">B14*Hypothèses!$B$7</f>
        <v>32000</v>
      </c>
      <c r="C20" s="26" t="n">
        <f aca="false">C14*Hypothèses!$B$7</f>
        <v>96000</v>
      </c>
      <c r="D20" s="26" t="n">
        <f aca="false">D14*Hypothèses!$B$7</f>
        <v>208000</v>
      </c>
      <c r="E20" s="26" t="n">
        <f aca="false">E14*Hypothèses!$B$7</f>
        <v>336000</v>
      </c>
      <c r="F20" s="26" t="n">
        <f aca="false">F14*Hypothèses!$B$7</f>
        <v>448000</v>
      </c>
      <c r="G20" s="26" t="n">
        <f aca="false">SUM(B20:F20)</f>
        <v>1120000</v>
      </c>
    </row>
    <row r="21" customFormat="false" ht="15" hidden="false" customHeight="false" outlineLevel="0" collapsed="false">
      <c r="A21" s="30" t="s">
        <v>160</v>
      </c>
      <c r="B21" s="31" t="n">
        <f aca="false">SUM(B18:B20)</f>
        <v>146000</v>
      </c>
      <c r="C21" s="31" t="n">
        <f aca="false">SUM(C18:C20)</f>
        <v>404000</v>
      </c>
      <c r="D21" s="31" t="n">
        <f aca="false">SUM(D18:D20)</f>
        <v>784000</v>
      </c>
      <c r="E21" s="31" t="n">
        <f aca="false">SUM(E18:E20)</f>
        <v>1199000</v>
      </c>
      <c r="F21" s="31" t="n">
        <f aca="false">SUM(F18:F20)</f>
        <v>1584000</v>
      </c>
      <c r="G21" s="31" t="n">
        <f aca="false">SUM(B21:F21)</f>
        <v>4117000</v>
      </c>
    </row>
    <row r="22" customFormat="false" ht="15" hidden="false" customHeight="false" outlineLevel="0" collapsed="false">
      <c r="A22" s="21" t="s">
        <v>161</v>
      </c>
      <c r="B22" s="26" t="n">
        <f aca="false">IF(B8=0,0,B21/B8)</f>
        <v>7300</v>
      </c>
      <c r="C22" s="26" t="n">
        <f aca="false">IF(C8=0,0,C21/C8)</f>
        <v>7481.48148148148</v>
      </c>
      <c r="D22" s="26" t="n">
        <f aca="false">IF(D8=0,0,D21/D8)</f>
        <v>7762.37623762376</v>
      </c>
      <c r="E22" s="26" t="n">
        <f aca="false">IF(E8=0,0,E21/E8)</f>
        <v>7940.39735099338</v>
      </c>
      <c r="F22" s="26" t="n">
        <f aca="false">IF(F8=0,0,F21/F8)</f>
        <v>8000</v>
      </c>
      <c r="G22" s="26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29" t="s">
        <v>162</v>
      </c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21" t="s">
        <v>163</v>
      </c>
      <c r="B25" s="26" t="n">
        <f aca="false">INDEX(Hypothèses!$D$10:$D$14,COUNTIF(Hypothèses!$B$10:$B$14,"&lt;"&amp;B8)+1)</f>
        <v>4800</v>
      </c>
      <c r="C25" s="26" t="n">
        <f aca="false">INDEX(Hypothèses!$D$10:$D$14,COUNTIF(Hypothèses!$B$10:$B$14,"&lt;"&amp;C8)+1)</f>
        <v>16800</v>
      </c>
      <c r="D25" s="26" t="n">
        <f aca="false">INDEX(Hypothèses!$D$10:$D$14,COUNTIF(Hypothèses!$B$10:$B$14,"&lt;"&amp;D8)+1)</f>
        <v>28800</v>
      </c>
      <c r="E25" s="26" t="n">
        <f aca="false">INDEX(Hypothèses!$D$10:$D$14,COUNTIF(Hypothèses!$B$10:$B$14,"&lt;"&amp;E8)+1)</f>
        <v>48000</v>
      </c>
      <c r="F25" s="26" t="n">
        <f aca="false">INDEX(Hypothèses!$D$10:$D$14,COUNTIF(Hypothèses!$B$10:$B$14,"&lt;"&amp;F8)+1)</f>
        <v>48000</v>
      </c>
      <c r="G25" s="26" t="n">
        <f aca="false">SUM(B25:F25)</f>
        <v>146400</v>
      </c>
    </row>
    <row r="26" customFormat="false" ht="15" hidden="false" customHeight="false" outlineLevel="0" collapsed="false">
      <c r="A26" s="21" t="s">
        <v>164</v>
      </c>
      <c r="B26" s="26" t="n">
        <f aca="false">IF(1&gt;=Hypothèses!$B$21,Hypothèses!$B$19*(1+Hypothèses!$B$20)^(1-Hypothèses!$B$21),0)</f>
        <v>76450</v>
      </c>
      <c r="C26" s="26" t="n">
        <f aca="false">IF(2&gt;=Hypothèses!$B$21,Hypothèses!$B$19*(1+Hypothèses!$B$20)^(2-Hypothèses!$B$21),0)</f>
        <v>77979</v>
      </c>
      <c r="D26" s="26" t="n">
        <f aca="false">IF(3&gt;=Hypothèses!$B$21,Hypothèses!$B$19*(1+Hypothèses!$B$20)^(3-Hypothèses!$B$21),0)</f>
        <v>79538.58</v>
      </c>
      <c r="E26" s="26" t="n">
        <f aca="false">IF(4&gt;=Hypothèses!$B$21,Hypothèses!$B$19*(1+Hypothèses!$B$20)^(4-Hypothèses!$B$21),0)</f>
        <v>81129.3516</v>
      </c>
      <c r="F26" s="26" t="n">
        <f aca="false">IF(5&gt;=Hypothèses!$B$21,Hypothèses!$B$19*(1+Hypothèses!$B$20)^(5-Hypothèses!$B$21),0)</f>
        <v>82751.938632</v>
      </c>
      <c r="G26" s="26" t="n">
        <f aca="false">SUM(B26:F26)</f>
        <v>397848.870232</v>
      </c>
    </row>
    <row r="27" customFormat="false" ht="15" hidden="false" customHeight="false" outlineLevel="0" collapsed="false">
      <c r="A27" s="21" t="s">
        <v>165</v>
      </c>
      <c r="B27" s="26" t="n">
        <f aca="false">SUM(Hypothèses!B24:B27)</f>
        <v>16400</v>
      </c>
      <c r="C27" s="26" t="n">
        <f aca="false">SUM(Hypothèses!C24:C27)</f>
        <v>19400</v>
      </c>
      <c r="D27" s="26" t="n">
        <f aca="false">SUM(Hypothèses!D24:D27)</f>
        <v>23500</v>
      </c>
      <c r="E27" s="26" t="n">
        <f aca="false">SUM(Hypothèses!E24:E27)</f>
        <v>27000</v>
      </c>
      <c r="F27" s="26" t="n">
        <f aca="false">SUM(Hypothèses!F24:F27)</f>
        <v>29100</v>
      </c>
      <c r="G27" s="26" t="n">
        <f aca="false">SUM(B27:F27)</f>
        <v>115400</v>
      </c>
    </row>
    <row r="28" customFormat="false" ht="15" hidden="false" customHeight="false" outlineLevel="0" collapsed="false">
      <c r="A28" s="21" t="s">
        <v>166</v>
      </c>
      <c r="B28" s="26" t="n">
        <f aca="false">MIN(Hypothèses!$B$31,Hypothèses!$B$30*(B6*(Hypothèses!B48*Hypothèses!$B$5+Hypothèses!B49*Hypothèses!$B$6+Hypothèses!B50*Hypothèses!$B$7)))</f>
        <v>43800</v>
      </c>
      <c r="C28" s="26" t="n">
        <f aca="false">MIN(Hypothèses!$B$31,Hypothèses!$B$30*(C6*(Hypothèses!C48*Hypothèses!$B$5+Hypothèses!C49*Hypothèses!$B$6+Hypothèses!C50*Hypothèses!$B$7)))</f>
        <v>80955</v>
      </c>
      <c r="D28" s="26" t="n">
        <f aca="false">MIN(Hypothèses!$B$31,Hypothèses!$B$30*(D6*(Hypothèses!D48*Hypothèses!$B$5+Hypothèses!D49*Hypothèses!$B$6+Hypothèses!D50*Hypothèses!$B$7)))</f>
        <v>120750</v>
      </c>
      <c r="E28" s="26" t="n">
        <f aca="false">MIN(Hypothèses!$B$31,Hypothèses!$B$30*(E6*(Hypothèses!E48*Hypothèses!$B$5+Hypothèses!E49*Hypothèses!$B$6+Hypothèses!E50*Hypothèses!$B$7)))</f>
        <v>132825</v>
      </c>
      <c r="F28" s="26" t="n">
        <f aca="false">MIN(Hypothèses!$B$31,Hypothèses!$B$30*(F6*(Hypothèses!F48*Hypothèses!$B$5+Hypothèses!F49*Hypothèses!$B$6+Hypothèses!F50*Hypothèses!$B$7)))</f>
        <v>132825</v>
      </c>
      <c r="G28" s="26" t="n">
        <f aca="false">SUM(B28:F28)</f>
        <v>511155</v>
      </c>
    </row>
    <row r="29" customFormat="false" ht="15" hidden="false" customHeight="false" outlineLevel="0" collapsed="false">
      <c r="A29" s="8" t="s">
        <v>36</v>
      </c>
      <c r="B29" s="14" t="n">
        <f aca="false">SUM(B25:B28)</f>
        <v>141450</v>
      </c>
      <c r="C29" s="14" t="n">
        <f aca="false">SUM(C25:C28)</f>
        <v>195134</v>
      </c>
      <c r="D29" s="14" t="n">
        <f aca="false">SUM(D25:D28)</f>
        <v>252588.58</v>
      </c>
      <c r="E29" s="14" t="n">
        <f aca="false">SUM(E25:E28)</f>
        <v>288954.3516</v>
      </c>
      <c r="F29" s="14" t="n">
        <f aca="false">SUM(F25:F28)</f>
        <v>292676.938632</v>
      </c>
      <c r="G29" s="14" t="n">
        <f aca="false">SUM(B29:F29)</f>
        <v>1170803.870232</v>
      </c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29" t="s">
        <v>167</v>
      </c>
      <c r="B31" s="16"/>
      <c r="C31" s="16"/>
      <c r="D31" s="16"/>
      <c r="E31" s="16"/>
      <c r="F31" s="16"/>
      <c r="G31" s="16"/>
    </row>
    <row r="32" customFormat="false" ht="15" hidden="false" customHeight="false" outlineLevel="0" collapsed="false">
      <c r="A32" s="30" t="s">
        <v>168</v>
      </c>
      <c r="B32" s="31" t="n">
        <f aca="false">B21-B29</f>
        <v>4550</v>
      </c>
      <c r="C32" s="31" t="n">
        <f aca="false">C21-C29</f>
        <v>208866</v>
      </c>
      <c r="D32" s="31" t="n">
        <f aca="false">D21-D29</f>
        <v>531411.42</v>
      </c>
      <c r="E32" s="31" t="n">
        <f aca="false">E21-E29</f>
        <v>910045.6484</v>
      </c>
      <c r="F32" s="31" t="n">
        <f aca="false">F21-F29</f>
        <v>1291323.061368</v>
      </c>
      <c r="G32" s="31" t="n">
        <f aca="false">SUM(B32:F32)</f>
        <v>2946196.129768</v>
      </c>
    </row>
    <row r="33" customFormat="false" ht="15" hidden="false" customHeight="false" outlineLevel="0" collapsed="false">
      <c r="A33" s="8" t="s">
        <v>38</v>
      </c>
      <c r="B33" s="14" t="n">
        <f aca="false">B32</f>
        <v>4550</v>
      </c>
      <c r="C33" s="14" t="n">
        <f aca="false">B33+C32</f>
        <v>213416</v>
      </c>
      <c r="D33" s="14" t="n">
        <f aca="false">C33+D32</f>
        <v>744827.42</v>
      </c>
      <c r="E33" s="14" t="n">
        <f aca="false">D33+E32</f>
        <v>1654873.0684</v>
      </c>
      <c r="F33" s="14" t="n">
        <f aca="false">E33+F32</f>
        <v>2946196.129768</v>
      </c>
      <c r="G33" s="14" t="n">
        <f aca="false">F33</f>
        <v>2946196.129768</v>
      </c>
    </row>
    <row r="34" customFormat="false" ht="15" hidden="false" customHeight="false" outlineLevel="0" collapsed="false">
      <c r="A34" s="21" t="s">
        <v>169</v>
      </c>
      <c r="B34" s="23" t="n">
        <f aca="false">IF(B21=0,0,B32/B21)</f>
        <v>0.0311643835616438</v>
      </c>
      <c r="C34" s="23" t="n">
        <f aca="false">IF(C21=0,0,C32/C21)</f>
        <v>0.516995049504951</v>
      </c>
      <c r="D34" s="23" t="n">
        <f aca="false">IF(D21=0,0,D32/D21)</f>
        <v>0.67782068877551</v>
      </c>
      <c r="E34" s="23" t="n">
        <f aca="false">IF(E21=0,0,E32/E21)</f>
        <v>0.759003876897415</v>
      </c>
      <c r="F34" s="23" t="n">
        <f aca="false">IF(F21=0,0,F32/F21)</f>
        <v>0.815229205409091</v>
      </c>
      <c r="G34" s="23"/>
    </row>
    <row r="35" customFormat="false" ht="15" hidden="false" customHeight="false" outlineLevel="0" collapsed="false">
      <c r="A35" s="21" t="s">
        <v>170</v>
      </c>
      <c r="B35" s="23" t="n">
        <f aca="false">IF(B21=0,0,B25/B21)</f>
        <v>0.0328767123287671</v>
      </c>
      <c r="C35" s="23" t="n">
        <f aca="false">IF(C21=0,0,C25/C21)</f>
        <v>0.0415841584158416</v>
      </c>
      <c r="D35" s="23" t="n">
        <f aca="false">IF(D21=0,0,D25/D21)</f>
        <v>0.036734693877551</v>
      </c>
      <c r="E35" s="23" t="n">
        <f aca="false">IF(E21=0,0,E25/E21)</f>
        <v>0.0400333611342786</v>
      </c>
      <c r="F35" s="23" t="n">
        <f aca="false">IF(F21=0,0,F25/F21)</f>
        <v>0.0303030303030303</v>
      </c>
      <c r="G35" s="23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30" hidden="false" customHeight="true" outlineLevel="0" collapsed="false">
      <c r="A37" s="17" t="s">
        <v>171</v>
      </c>
      <c r="B37" s="17"/>
      <c r="C37" s="17"/>
      <c r="D37" s="17"/>
      <c r="E37" s="17"/>
      <c r="F37" s="17"/>
      <c r="G37" s="17"/>
    </row>
  </sheetData>
  <mergeCells count="1"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6" min="2" style="0" width="15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4" t="s">
        <v>173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146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/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7"/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147</v>
      </c>
    </row>
    <row r="5" customFormat="false" ht="15" hidden="false" customHeight="false" outlineLevel="0" collapsed="false">
      <c r="A5" s="29" t="s">
        <v>148</v>
      </c>
      <c r="B5" s="16"/>
      <c r="C5" s="16"/>
      <c r="D5" s="16"/>
      <c r="E5" s="16"/>
      <c r="F5" s="16"/>
      <c r="G5" s="16"/>
    </row>
    <row r="6" customFormat="false" ht="15" hidden="false" customHeight="false" outlineLevel="0" collapsed="false">
      <c r="A6" s="21" t="s">
        <v>149</v>
      </c>
      <c r="B6" s="9" t="n">
        <f aca="false">Hypothèses!B38</f>
        <v>30</v>
      </c>
      <c r="C6" s="9" t="n">
        <f aca="false">Hypothèses!C38</f>
        <v>55</v>
      </c>
      <c r="D6" s="9" t="n">
        <f aca="false">Hypothèses!D38</f>
        <v>80</v>
      </c>
      <c r="E6" s="9" t="n">
        <f aca="false">Hypothèses!E38</f>
        <v>85</v>
      </c>
      <c r="F6" s="9" t="n">
        <f aca="false">Hypothèses!F38</f>
        <v>90</v>
      </c>
      <c r="G6" s="20" t="n">
        <f aca="false">SUM(B6:F6)</f>
        <v>340</v>
      </c>
    </row>
    <row r="7" customFormat="false" ht="15" hidden="false" customHeight="false" outlineLevel="0" collapsed="false">
      <c r="A7" s="21" t="s">
        <v>150</v>
      </c>
      <c r="B7" s="20" t="n">
        <f aca="false">0</f>
        <v>0</v>
      </c>
      <c r="C7" s="20" t="n">
        <f aca="false">ROUND(B8*Hypothèses!$B$32,0)</f>
        <v>2</v>
      </c>
      <c r="D7" s="20" t="n">
        <f aca="false">ROUND(C8*Hypothèses!$B$32,0)</f>
        <v>4</v>
      </c>
      <c r="E7" s="20" t="n">
        <f aca="false">ROUND(D8*Hypothèses!$B$32,0)</f>
        <v>8</v>
      </c>
      <c r="F7" s="20" t="n">
        <f aca="false">ROUND(E8*Hypothèses!$B$32,0)</f>
        <v>12</v>
      </c>
      <c r="G7" s="20" t="n">
        <f aca="false">SUM(B7:F7)</f>
        <v>26</v>
      </c>
    </row>
    <row r="8" customFormat="false" ht="15" hidden="false" customHeight="false" outlineLevel="0" collapsed="false">
      <c r="A8" s="8" t="s">
        <v>20</v>
      </c>
      <c r="B8" s="10" t="n">
        <f aca="false">B6-B7</f>
        <v>30</v>
      </c>
      <c r="C8" s="10" t="n">
        <f aca="false">B8+C6-C7</f>
        <v>83</v>
      </c>
      <c r="D8" s="10" t="n">
        <f aca="false">C8+D6-D7</f>
        <v>159</v>
      </c>
      <c r="E8" s="10" t="n">
        <f aca="false">D8+E6-E7</f>
        <v>236</v>
      </c>
      <c r="F8" s="10" t="n">
        <f aca="false">E8+F6-F7</f>
        <v>314</v>
      </c>
      <c r="G8" s="10" t="n">
        <f aca="false">F8</f>
        <v>314</v>
      </c>
    </row>
    <row r="9" customFormat="false" ht="15" hidden="false" customHeight="false" outlineLevel="0" collapsed="false">
      <c r="A9" s="21" t="s">
        <v>30</v>
      </c>
      <c r="B9" s="23" t="n">
        <f aca="false">B8/Hypothèses!$B$33</f>
        <v>0.0238853503184713</v>
      </c>
      <c r="C9" s="23" t="n">
        <f aca="false">C8/Hypothèses!$B$33</f>
        <v>0.0660828025477707</v>
      </c>
      <c r="D9" s="23" t="n">
        <f aca="false">D8/Hypothèses!$B$33</f>
        <v>0.126592356687898</v>
      </c>
      <c r="E9" s="23" t="n">
        <f aca="false">E8/Hypothèses!$B$33</f>
        <v>0.187898089171975</v>
      </c>
      <c r="F9" s="23" t="n">
        <f aca="false">F8/Hypothèses!$B$33</f>
        <v>0.25</v>
      </c>
      <c r="G9" s="23" t="n">
        <f aca="false">F9</f>
        <v>0.25</v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29" t="s">
        <v>151</v>
      </c>
      <c r="B11" s="16"/>
      <c r="C11" s="16"/>
      <c r="D11" s="16"/>
      <c r="E11" s="16"/>
      <c r="F11" s="16"/>
      <c r="G11" s="16"/>
    </row>
    <row r="12" customFormat="false" ht="15" hidden="false" customHeight="false" outlineLevel="0" collapsed="false">
      <c r="A12" s="21" t="s">
        <v>152</v>
      </c>
      <c r="B12" s="20" t="n">
        <f aca="false">ROUND(B6*Hypothèses!B54,0)</f>
        <v>17</v>
      </c>
      <c r="C12" s="20" t="n">
        <f aca="false">ROUND(B12*(1-Hypothèses!$B$32)+C6*Hypothèses!C54,0)</f>
        <v>44</v>
      </c>
      <c r="D12" s="20" t="n">
        <f aca="false">ROUND(C12*(1-Hypothèses!$B$32)+D6*Hypothèses!D54,0)</f>
        <v>78</v>
      </c>
      <c r="E12" s="20" t="n">
        <f aca="false">ROUND(D12*(1-Hypothèses!$B$32)+E6*Hypothèses!E54,0)</f>
        <v>112</v>
      </c>
      <c r="F12" s="20" t="n">
        <f aca="false">ROUND(E12*(1-Hypothèses!$B$32)+F6*Hypothèses!F54,0)</f>
        <v>147</v>
      </c>
      <c r="G12" s="20" t="n">
        <f aca="false">F12</f>
        <v>147</v>
      </c>
    </row>
    <row r="13" customFormat="false" ht="15" hidden="false" customHeight="false" outlineLevel="0" collapsed="false">
      <c r="A13" s="21" t="s">
        <v>153</v>
      </c>
      <c r="B13" s="20" t="n">
        <f aca="false">ROUND(B6*Hypothèses!B55,0)</f>
        <v>10</v>
      </c>
      <c r="C13" s="20" t="n">
        <f aca="false">ROUND(B13*(1-Hypothèses!$B$32)+C6*Hypothèses!C55,0)</f>
        <v>29</v>
      </c>
      <c r="D13" s="20" t="n">
        <f aca="false">ROUND(C13*(1-Hypothèses!$B$32)+D6*Hypothèses!D55,0)</f>
        <v>57</v>
      </c>
      <c r="E13" s="20" t="n">
        <f aca="false">ROUND(D13*(1-Hypothèses!$B$32)+E6*Hypothèses!E55,0)</f>
        <v>86</v>
      </c>
      <c r="F13" s="20" t="n">
        <f aca="false">ROUND(E13*(1-Hypothèses!$B$32)+F6*Hypothèses!F55,0)</f>
        <v>115</v>
      </c>
      <c r="G13" s="20" t="n">
        <f aca="false">F13</f>
        <v>115</v>
      </c>
    </row>
    <row r="14" customFormat="false" ht="15" hidden="false" customHeight="false" outlineLevel="0" collapsed="false">
      <c r="A14" s="21" t="s">
        <v>154</v>
      </c>
      <c r="B14" s="20" t="n">
        <f aca="false">ROUND(B6*Hypothèses!B56,0)</f>
        <v>4</v>
      </c>
      <c r="C14" s="20" t="n">
        <f aca="false">ROUND(B14*(1-Hypothèses!$B$32)+C6*Hypothèses!C56,0)</f>
        <v>12</v>
      </c>
      <c r="D14" s="20" t="n">
        <f aca="false">ROUND(C14*(1-Hypothèses!$B$32)+D6*Hypothèses!D56,0)</f>
        <v>26</v>
      </c>
      <c r="E14" s="20" t="n">
        <f aca="false">ROUND(D14*(1-Hypothèses!$B$32)+E6*Hypothèses!E56,0)</f>
        <v>40</v>
      </c>
      <c r="F14" s="20" t="n">
        <f aca="false">ROUND(E14*(1-Hypothèses!$B$32)+F6*Hypothèses!F56,0)</f>
        <v>54</v>
      </c>
      <c r="G14" s="20" t="n">
        <f aca="false">F14</f>
        <v>54</v>
      </c>
    </row>
    <row r="15" customFormat="false" ht="15" hidden="false" customHeight="false" outlineLevel="0" collapsed="false">
      <c r="A15" s="21" t="s">
        <v>155</v>
      </c>
      <c r="B15" s="20" t="n">
        <f aca="false">SUM(B12:B14)</f>
        <v>31</v>
      </c>
      <c r="C15" s="20" t="n">
        <f aca="false">SUM(C12:C14)</f>
        <v>85</v>
      </c>
      <c r="D15" s="20" t="n">
        <f aca="false">SUM(D12:D14)</f>
        <v>161</v>
      </c>
      <c r="E15" s="20" t="n">
        <f aca="false">SUM(E12:E14)</f>
        <v>238</v>
      </c>
      <c r="F15" s="20" t="n">
        <f aca="false">SUM(F12:F14)</f>
        <v>316</v>
      </c>
      <c r="G15" s="20" t="n">
        <f aca="false">F15</f>
        <v>316</v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29" t="s">
        <v>156</v>
      </c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21" t="s">
        <v>157</v>
      </c>
      <c r="B18" s="26" t="n">
        <f aca="false">B12*Hypothèses!$B$5</f>
        <v>85000</v>
      </c>
      <c r="C18" s="26" t="n">
        <f aca="false">C12*Hypothèses!$B$5</f>
        <v>220000</v>
      </c>
      <c r="D18" s="26" t="n">
        <f aca="false">D12*Hypothèses!$B$5</f>
        <v>390000</v>
      </c>
      <c r="E18" s="26" t="n">
        <f aca="false">E12*Hypothèses!$B$5</f>
        <v>560000</v>
      </c>
      <c r="F18" s="26" t="n">
        <f aca="false">F12*Hypothèses!$B$5</f>
        <v>735000</v>
      </c>
      <c r="G18" s="26" t="n">
        <f aca="false">SUM(B18:F18)</f>
        <v>1990000</v>
      </c>
    </row>
    <row r="19" customFormat="false" ht="15" hidden="false" customHeight="false" outlineLevel="0" collapsed="false">
      <c r="A19" s="21" t="s">
        <v>158</v>
      </c>
      <c r="B19" s="26" t="n">
        <f aca="false">B13*Hypothèses!$B$6</f>
        <v>90000</v>
      </c>
      <c r="C19" s="26" t="n">
        <f aca="false">C13*Hypothèses!$B$6</f>
        <v>261000</v>
      </c>
      <c r="D19" s="26" t="n">
        <f aca="false">D13*Hypothèses!$B$6</f>
        <v>513000</v>
      </c>
      <c r="E19" s="26" t="n">
        <f aca="false">E13*Hypothèses!$B$6</f>
        <v>774000</v>
      </c>
      <c r="F19" s="26" t="n">
        <f aca="false">F13*Hypothèses!$B$6</f>
        <v>1035000</v>
      </c>
      <c r="G19" s="26" t="n">
        <f aca="false">SUM(B19:F19)</f>
        <v>2673000</v>
      </c>
    </row>
    <row r="20" customFormat="false" ht="15" hidden="false" customHeight="false" outlineLevel="0" collapsed="false">
      <c r="A20" s="21" t="s">
        <v>159</v>
      </c>
      <c r="B20" s="26" t="n">
        <f aca="false">B14*Hypothèses!$B$7</f>
        <v>64000</v>
      </c>
      <c r="C20" s="26" t="n">
        <f aca="false">C14*Hypothèses!$B$7</f>
        <v>192000</v>
      </c>
      <c r="D20" s="26" t="n">
        <f aca="false">D14*Hypothèses!$B$7</f>
        <v>416000</v>
      </c>
      <c r="E20" s="26" t="n">
        <f aca="false">E14*Hypothèses!$B$7</f>
        <v>640000</v>
      </c>
      <c r="F20" s="26" t="n">
        <f aca="false">F14*Hypothèses!$B$7</f>
        <v>864000</v>
      </c>
      <c r="G20" s="26" t="n">
        <f aca="false">SUM(B20:F20)</f>
        <v>2176000</v>
      </c>
    </row>
    <row r="21" customFormat="false" ht="15" hidden="false" customHeight="false" outlineLevel="0" collapsed="false">
      <c r="A21" s="30" t="s">
        <v>160</v>
      </c>
      <c r="B21" s="31" t="n">
        <f aca="false">SUM(B18:B20)</f>
        <v>239000</v>
      </c>
      <c r="C21" s="31" t="n">
        <f aca="false">SUM(C18:C20)</f>
        <v>673000</v>
      </c>
      <c r="D21" s="31" t="n">
        <f aca="false">SUM(D18:D20)</f>
        <v>1319000</v>
      </c>
      <c r="E21" s="31" t="n">
        <f aca="false">SUM(E18:E20)</f>
        <v>1974000</v>
      </c>
      <c r="F21" s="31" t="n">
        <f aca="false">SUM(F18:F20)</f>
        <v>2634000</v>
      </c>
      <c r="G21" s="31" t="n">
        <f aca="false">SUM(B21:F21)</f>
        <v>6839000</v>
      </c>
    </row>
    <row r="22" customFormat="false" ht="15" hidden="false" customHeight="false" outlineLevel="0" collapsed="false">
      <c r="A22" s="21" t="s">
        <v>161</v>
      </c>
      <c r="B22" s="26" t="n">
        <f aca="false">IF(B8=0,0,B21/B8)</f>
        <v>7966.66666666667</v>
      </c>
      <c r="C22" s="26" t="n">
        <f aca="false">IF(C8=0,0,C21/C8)</f>
        <v>8108.43373493976</v>
      </c>
      <c r="D22" s="26" t="n">
        <f aca="false">IF(D8=0,0,D21/D8)</f>
        <v>8295.59748427673</v>
      </c>
      <c r="E22" s="26" t="n">
        <f aca="false">IF(E8=0,0,E21/E8)</f>
        <v>8364.40677966102</v>
      </c>
      <c r="F22" s="26" t="n">
        <f aca="false">IF(F8=0,0,F21/F8)</f>
        <v>8388.53503184713</v>
      </c>
      <c r="G22" s="26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29" t="s">
        <v>162</v>
      </c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21" t="s">
        <v>163</v>
      </c>
      <c r="B25" s="26" t="n">
        <f aca="false">INDEX(Hypothèses!$D$10:$D$14,COUNTIF(Hypothèses!$B$10:$B$14,"&lt;"&amp;B8)+1)</f>
        <v>4800</v>
      </c>
      <c r="C25" s="26" t="n">
        <f aca="false">INDEX(Hypothèses!$D$10:$D$14,COUNTIF(Hypothèses!$B$10:$B$14,"&lt;"&amp;C8)+1)</f>
        <v>28800</v>
      </c>
      <c r="D25" s="26" t="n">
        <f aca="false">INDEX(Hypothèses!$D$10:$D$14,COUNTIF(Hypothèses!$B$10:$B$14,"&lt;"&amp;D8)+1)</f>
        <v>48000</v>
      </c>
      <c r="E25" s="26" t="n">
        <f aca="false">INDEX(Hypothèses!$D$10:$D$14,COUNTIF(Hypothèses!$B$10:$B$14,"&lt;"&amp;E8)+1)</f>
        <v>48000</v>
      </c>
      <c r="F25" s="26" t="n">
        <f aca="false">INDEX(Hypothèses!$D$10:$D$14,COUNTIF(Hypothèses!$B$10:$B$14,"&lt;"&amp;F8)+1)</f>
        <v>66000</v>
      </c>
      <c r="G25" s="26" t="n">
        <f aca="false">SUM(B25:F25)</f>
        <v>195600</v>
      </c>
    </row>
    <row r="26" customFormat="false" ht="15" hidden="false" customHeight="false" outlineLevel="0" collapsed="false">
      <c r="A26" s="21" t="s">
        <v>164</v>
      </c>
      <c r="B26" s="26" t="n">
        <f aca="false">IF(1&gt;=Hypothèses!$B$21,Hypothèses!$B$19*(1+Hypothèses!$B$20)^(1-Hypothèses!$B$21),0)</f>
        <v>76450</v>
      </c>
      <c r="C26" s="26" t="n">
        <f aca="false">IF(2&gt;=Hypothèses!$B$21,Hypothèses!$B$19*(1+Hypothèses!$B$20)^(2-Hypothèses!$B$21),0)</f>
        <v>77979</v>
      </c>
      <c r="D26" s="26" t="n">
        <f aca="false">IF(3&gt;=Hypothèses!$B$21,Hypothèses!$B$19*(1+Hypothèses!$B$20)^(3-Hypothèses!$B$21),0)</f>
        <v>79538.58</v>
      </c>
      <c r="E26" s="26" t="n">
        <f aca="false">IF(4&gt;=Hypothèses!$B$21,Hypothèses!$B$19*(1+Hypothèses!$B$20)^(4-Hypothèses!$B$21),0)</f>
        <v>81129.3516</v>
      </c>
      <c r="F26" s="26" t="n">
        <f aca="false">IF(5&gt;=Hypothèses!$B$21,Hypothèses!$B$19*(1+Hypothèses!$B$20)^(5-Hypothèses!$B$21),0)</f>
        <v>82751.938632</v>
      </c>
      <c r="G26" s="26" t="n">
        <f aca="false">SUM(B26:F26)</f>
        <v>397848.870232</v>
      </c>
    </row>
    <row r="27" customFormat="false" ht="15" hidden="false" customHeight="false" outlineLevel="0" collapsed="false">
      <c r="A27" s="21" t="s">
        <v>165</v>
      </c>
      <c r="B27" s="26" t="n">
        <f aca="false">SUM(Hypothèses!B24:B27)</f>
        <v>16400</v>
      </c>
      <c r="C27" s="26" t="n">
        <f aca="false">SUM(Hypothèses!C24:C27)</f>
        <v>19400</v>
      </c>
      <c r="D27" s="26" t="n">
        <f aca="false">SUM(Hypothèses!D24:D27)</f>
        <v>23500</v>
      </c>
      <c r="E27" s="26" t="n">
        <f aca="false">SUM(Hypothèses!E24:E27)</f>
        <v>27000</v>
      </c>
      <c r="F27" s="26" t="n">
        <f aca="false">SUM(Hypothèses!F24:F27)</f>
        <v>29100</v>
      </c>
      <c r="G27" s="26" t="n">
        <f aca="false">SUM(B27:F27)</f>
        <v>115400</v>
      </c>
    </row>
    <row r="28" customFormat="false" ht="15" hidden="false" customHeight="false" outlineLevel="0" collapsed="false">
      <c r="A28" s="21" t="s">
        <v>166</v>
      </c>
      <c r="B28" s="26" t="n">
        <f aca="false">MIN(Hypothèses!$B$31,Hypothèses!$B$30*(B6*(Hypothèses!B54*Hypothèses!$B$5+Hypothèses!B55*Hypothèses!$B$6+Hypothèses!B56*Hypothèses!$B$7)))</f>
        <v>69390</v>
      </c>
      <c r="C28" s="26" t="n">
        <f aca="false">MIN(Hypothèses!$B$31,Hypothèses!$B$30*(C6*(Hypothèses!C54*Hypothèses!$B$5+Hypothèses!C55*Hypothèses!$B$6+Hypothèses!C56*Hypothèses!$B$7)))</f>
        <v>132825</v>
      </c>
      <c r="D28" s="26" t="n">
        <f aca="false">MIN(Hypothèses!$B$31,Hypothèses!$B$30*(D6*(Hypothèses!D54*Hypothèses!$B$5+Hypothèses!D55*Hypothèses!$B$6+Hypothèses!D56*Hypothèses!$B$7)))</f>
        <v>150000</v>
      </c>
      <c r="E28" s="26" t="n">
        <f aca="false">MIN(Hypothèses!$B$31,Hypothèses!$B$30*(E6*(Hypothèses!E54*Hypothèses!$B$5+Hypothèses!E55*Hypothèses!$B$6+Hypothèses!E56*Hypothèses!$B$7)))</f>
        <v>150000</v>
      </c>
      <c r="F28" s="26" t="n">
        <f aca="false">MIN(Hypothèses!$B$31,Hypothèses!$B$30*(F6*(Hypothèses!F54*Hypothèses!$B$5+Hypothèses!F55*Hypothèses!$B$6+Hypothèses!F56*Hypothèses!$B$7)))</f>
        <v>150000</v>
      </c>
      <c r="G28" s="26" t="n">
        <f aca="false">SUM(B28:F28)</f>
        <v>652215</v>
      </c>
    </row>
    <row r="29" customFormat="false" ht="15" hidden="false" customHeight="false" outlineLevel="0" collapsed="false">
      <c r="A29" s="8" t="s">
        <v>36</v>
      </c>
      <c r="B29" s="14" t="n">
        <f aca="false">SUM(B25:B28)</f>
        <v>167040</v>
      </c>
      <c r="C29" s="14" t="n">
        <f aca="false">SUM(C25:C28)</f>
        <v>259004</v>
      </c>
      <c r="D29" s="14" t="n">
        <f aca="false">SUM(D25:D28)</f>
        <v>301038.58</v>
      </c>
      <c r="E29" s="14" t="n">
        <f aca="false">SUM(E25:E28)</f>
        <v>306129.3516</v>
      </c>
      <c r="F29" s="14" t="n">
        <f aca="false">SUM(F25:F28)</f>
        <v>327851.938632</v>
      </c>
      <c r="G29" s="14" t="n">
        <f aca="false">SUM(B29:F29)</f>
        <v>1361063.870232</v>
      </c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29" t="s">
        <v>167</v>
      </c>
      <c r="B31" s="16"/>
      <c r="C31" s="16"/>
      <c r="D31" s="16"/>
      <c r="E31" s="16"/>
      <c r="F31" s="16"/>
      <c r="G31" s="16"/>
    </row>
    <row r="32" customFormat="false" ht="15" hidden="false" customHeight="false" outlineLevel="0" collapsed="false">
      <c r="A32" s="30" t="s">
        <v>168</v>
      </c>
      <c r="B32" s="31" t="n">
        <f aca="false">B21-B29</f>
        <v>71960</v>
      </c>
      <c r="C32" s="31" t="n">
        <f aca="false">C21-C29</f>
        <v>413996</v>
      </c>
      <c r="D32" s="31" t="n">
        <f aca="false">D21-D29</f>
        <v>1017961.42</v>
      </c>
      <c r="E32" s="31" t="n">
        <f aca="false">E21-E29</f>
        <v>1667870.6484</v>
      </c>
      <c r="F32" s="31" t="n">
        <f aca="false">F21-F29</f>
        <v>2306148.061368</v>
      </c>
      <c r="G32" s="31" t="n">
        <f aca="false">SUM(B32:F32)</f>
        <v>5477936.129768</v>
      </c>
    </row>
    <row r="33" customFormat="false" ht="15" hidden="false" customHeight="false" outlineLevel="0" collapsed="false">
      <c r="A33" s="8" t="s">
        <v>38</v>
      </c>
      <c r="B33" s="14" t="n">
        <f aca="false">B32</f>
        <v>71960</v>
      </c>
      <c r="C33" s="14" t="n">
        <f aca="false">B33+C32</f>
        <v>485956</v>
      </c>
      <c r="D33" s="14" t="n">
        <f aca="false">C33+D32</f>
        <v>1503917.42</v>
      </c>
      <c r="E33" s="14" t="n">
        <f aca="false">D33+E32</f>
        <v>3171788.0684</v>
      </c>
      <c r="F33" s="14" t="n">
        <f aca="false">E33+F32</f>
        <v>5477936.129768</v>
      </c>
      <c r="G33" s="14" t="n">
        <f aca="false">F33</f>
        <v>5477936.129768</v>
      </c>
    </row>
    <row r="34" customFormat="false" ht="15" hidden="false" customHeight="false" outlineLevel="0" collapsed="false">
      <c r="A34" s="21" t="s">
        <v>169</v>
      </c>
      <c r="B34" s="23" t="n">
        <f aca="false">IF(B21=0,0,B32/B21)</f>
        <v>0.301087866108787</v>
      </c>
      <c r="C34" s="23" t="n">
        <f aca="false">IF(C21=0,0,C32/C21)</f>
        <v>0.615150074294205</v>
      </c>
      <c r="D34" s="23" t="n">
        <f aca="false">IF(D21=0,0,D32/D21)</f>
        <v>0.771767566338135</v>
      </c>
      <c r="E34" s="23" t="n">
        <f aca="false">IF(E21=0,0,E32/E21)</f>
        <v>0.844919274772037</v>
      </c>
      <c r="F34" s="23" t="n">
        <f aca="false">IF(F21=0,0,F32/F21)</f>
        <v>0.875530775006834</v>
      </c>
      <c r="G34" s="23"/>
    </row>
    <row r="35" customFormat="false" ht="15" hidden="false" customHeight="false" outlineLevel="0" collapsed="false">
      <c r="A35" s="21" t="s">
        <v>170</v>
      </c>
      <c r="B35" s="23" t="n">
        <f aca="false">IF(B21=0,0,B25/B21)</f>
        <v>0.0200836820083682</v>
      </c>
      <c r="C35" s="23" t="n">
        <f aca="false">IF(C21=0,0,C25/C21)</f>
        <v>0.0427934621099554</v>
      </c>
      <c r="D35" s="23" t="n">
        <f aca="false">IF(D21=0,0,D25/D21)</f>
        <v>0.0363912054586808</v>
      </c>
      <c r="E35" s="23" t="n">
        <f aca="false">IF(E21=0,0,E25/E21)</f>
        <v>0.0243161094224924</v>
      </c>
      <c r="F35" s="23" t="n">
        <f aca="false">IF(F21=0,0,F25/F21)</f>
        <v>0.0250569476082005</v>
      </c>
      <c r="G35" s="23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30" hidden="false" customHeight="true" outlineLevel="0" collapsed="false">
      <c r="A37" s="17" t="s">
        <v>171</v>
      </c>
      <c r="B37" s="17"/>
      <c r="C37" s="17"/>
      <c r="D37" s="17"/>
      <c r="E37" s="17"/>
      <c r="F37" s="17"/>
      <c r="G37" s="17"/>
    </row>
  </sheetData>
  <mergeCells count="1"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2026-09-24T14:17:50Z</dcterms:created>
  <dc:creator>openpyxl</dc:creator>
  <dc:description/>
  <dc:language>en-US</dc:language>
  <cp:lastModifiedBy/>
  <dcterms:modified xsi:type="dcterms:W3CDTF">2026-09-24T14:17:53Z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